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955" yWindow="285" windowWidth="12420" windowHeight="9000" tabRatio="633"/>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2" hidden="1">'CPP Missed Payments'!$C$11:$I$259</definedName>
    <definedName name="_xlnm._FilterDatabase" localSheetId="3" hidden="1">'CPP Portfolio Missed Payments'!$C$11:$I$154</definedName>
    <definedName name="_xlnm._FilterDatabase" localSheetId="0" hidden="1">Dividends!$A$4:$K$920</definedName>
    <definedName name="_xlnm.Print_Area" localSheetId="5">'CDCI Missed Payments'!$A$1:$K$33</definedName>
    <definedName name="_xlnm.Print_Area" localSheetId="2">'CPP Missed Payments'!$A$1:$K$261</definedName>
    <definedName name="_xlnm.Print_Area" localSheetId="4">'CPP MP Footnotes'!$A$1:$K$59</definedName>
    <definedName name="_xlnm.Print_Area" localSheetId="3">'CPP Portfolio Missed Payments'!$A$1:$K$156</definedName>
    <definedName name="_xlnm.Print_Area" localSheetId="0">Dividends!$A$1:$K$927</definedName>
    <definedName name="_xlnm.Print_Area" localSheetId="1">Footnotes!$A$1:$J$162</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C3" i="10" l="1"/>
  <c r="H3" i="10"/>
  <c r="I5" i="29" l="1"/>
  <c r="I17" i="31" l="1"/>
  <c r="H17" i="31"/>
  <c r="F17" i="31"/>
  <c r="I16" i="31"/>
  <c r="H16" i="31"/>
  <c r="F16" i="31"/>
  <c r="I15" i="31" l="1"/>
  <c r="H15" i="31"/>
  <c r="F15" i="31"/>
  <c r="I154" i="34" l="1"/>
  <c r="H154" i="34"/>
  <c r="F154" i="34"/>
  <c r="I153" i="34"/>
  <c r="H153" i="34"/>
  <c r="F153" i="34"/>
  <c r="I152" i="34"/>
  <c r="H152" i="34"/>
  <c r="F152" i="34"/>
  <c r="I151" i="34"/>
  <c r="H151" i="34"/>
  <c r="F151" i="34"/>
  <c r="I150" i="34"/>
  <c r="H150" i="34"/>
  <c r="F150" i="34"/>
  <c r="I149" i="34"/>
  <c r="H149" i="34"/>
  <c r="F149" i="34"/>
  <c r="I148" i="34"/>
  <c r="H148" i="34"/>
  <c r="F148" i="34"/>
  <c r="I147" i="34"/>
  <c r="H147" i="34"/>
  <c r="F147" i="34"/>
  <c r="I146" i="34"/>
  <c r="H146" i="34"/>
  <c r="F146" i="34"/>
  <c r="I145" i="34"/>
  <c r="H145" i="34"/>
  <c r="F145" i="34"/>
  <c r="I144" i="34"/>
  <c r="H144" i="34"/>
  <c r="F144" i="34"/>
  <c r="I143" i="34"/>
  <c r="H143" i="34"/>
  <c r="F143" i="34"/>
  <c r="I140" i="34"/>
  <c r="H140" i="34"/>
  <c r="F140" i="34"/>
  <c r="I139" i="34"/>
  <c r="H139" i="34"/>
  <c r="F139" i="34"/>
  <c r="I138" i="34"/>
  <c r="H138" i="34"/>
  <c r="F138" i="34"/>
  <c r="I137" i="34"/>
  <c r="H137" i="34"/>
  <c r="F137" i="34"/>
  <c r="I136" i="34"/>
  <c r="H136" i="34"/>
  <c r="F136" i="34"/>
  <c r="I135" i="34"/>
  <c r="H135" i="34"/>
  <c r="F135" i="34"/>
  <c r="I134" i="34"/>
  <c r="H134" i="34"/>
  <c r="F134" i="34"/>
  <c r="I133" i="34"/>
  <c r="H133" i="34"/>
  <c r="F133" i="34"/>
  <c r="I132" i="34"/>
  <c r="H132" i="34"/>
  <c r="F132" i="34"/>
  <c r="I131" i="34"/>
  <c r="H131" i="34"/>
  <c r="F131" i="34"/>
  <c r="I129" i="34"/>
  <c r="H129" i="34"/>
  <c r="F129" i="34"/>
  <c r="I127" i="34"/>
  <c r="H127" i="34"/>
  <c r="F127" i="34"/>
  <c r="I126" i="34"/>
  <c r="H126" i="34"/>
  <c r="F126" i="34"/>
  <c r="I125" i="34"/>
  <c r="H125" i="34"/>
  <c r="F125" i="34"/>
  <c r="I124" i="34"/>
  <c r="H124" i="34"/>
  <c r="F124" i="34"/>
  <c r="I123" i="34"/>
  <c r="H123" i="34"/>
  <c r="F123" i="34"/>
  <c r="I122" i="34"/>
  <c r="H122" i="34"/>
  <c r="F122" i="34"/>
  <c r="I121" i="34"/>
  <c r="H121" i="34"/>
  <c r="F121" i="34"/>
  <c r="I118" i="34"/>
  <c r="H118" i="34"/>
  <c r="F118" i="34"/>
  <c r="I116" i="34"/>
  <c r="H116" i="34"/>
  <c r="F116" i="34"/>
  <c r="I115" i="34"/>
  <c r="H115" i="34"/>
  <c r="F115" i="34"/>
  <c r="I114" i="34"/>
  <c r="H114" i="34"/>
  <c r="F114" i="34"/>
  <c r="I113" i="34"/>
  <c r="H113" i="34"/>
  <c r="F113" i="34"/>
  <c r="I112" i="34"/>
  <c r="H112" i="34"/>
  <c r="F112" i="34"/>
  <c r="I111" i="34"/>
  <c r="H111" i="34"/>
  <c r="F111" i="34"/>
  <c r="I110" i="34"/>
  <c r="H110" i="34"/>
  <c r="F110" i="34"/>
  <c r="I109" i="34"/>
  <c r="H109" i="34"/>
  <c r="F109" i="34"/>
  <c r="I108" i="34"/>
  <c r="H108" i="34"/>
  <c r="F108" i="34"/>
  <c r="I107" i="34"/>
  <c r="H107" i="34"/>
  <c r="F107" i="34"/>
  <c r="I106" i="34"/>
  <c r="H106" i="34"/>
  <c r="F106" i="34"/>
  <c r="I105" i="34"/>
  <c r="H105" i="34"/>
  <c r="F105" i="34"/>
  <c r="I104" i="34"/>
  <c r="H104" i="34"/>
  <c r="F104" i="34"/>
  <c r="I103" i="34"/>
  <c r="H103" i="34"/>
  <c r="F103" i="34"/>
  <c r="I102" i="34"/>
  <c r="H102" i="34"/>
  <c r="F102" i="34"/>
  <c r="I101" i="34"/>
  <c r="H101" i="34"/>
  <c r="F101" i="34"/>
  <c r="I100" i="34"/>
  <c r="H100" i="34"/>
  <c r="F100" i="34"/>
  <c r="I99" i="34"/>
  <c r="H99" i="34"/>
  <c r="F99" i="34"/>
  <c r="I98" i="34"/>
  <c r="H98" i="34"/>
  <c r="F98" i="34"/>
  <c r="I97" i="34"/>
  <c r="H97" i="34"/>
  <c r="F97" i="34"/>
  <c r="I96" i="34"/>
  <c r="H96" i="34"/>
  <c r="F96" i="34"/>
  <c r="I95" i="34"/>
  <c r="H95" i="34"/>
  <c r="F95" i="34"/>
  <c r="I94" i="34"/>
  <c r="H94" i="34"/>
  <c r="F94" i="34"/>
  <c r="I93" i="34"/>
  <c r="H93" i="34"/>
  <c r="F93" i="34"/>
  <c r="I92" i="34"/>
  <c r="H92" i="34"/>
  <c r="F92" i="34"/>
  <c r="I91" i="34"/>
  <c r="H91" i="34"/>
  <c r="F91" i="34"/>
  <c r="I90" i="34"/>
  <c r="H90" i="34"/>
  <c r="F90" i="34"/>
  <c r="I89" i="34"/>
  <c r="H89" i="34"/>
  <c r="F89" i="34"/>
  <c r="I88" i="34"/>
  <c r="H88" i="34"/>
  <c r="F88" i="34"/>
  <c r="I87" i="34"/>
  <c r="H87" i="34"/>
  <c r="F87" i="34"/>
  <c r="I86" i="34"/>
  <c r="H86" i="34"/>
  <c r="F86" i="34"/>
  <c r="I85" i="34"/>
  <c r="H85" i="34"/>
  <c r="F85" i="34"/>
  <c r="I84" i="34"/>
  <c r="H84" i="34"/>
  <c r="F84" i="34"/>
  <c r="I83" i="34"/>
  <c r="H83" i="34"/>
  <c r="F83" i="34"/>
  <c r="I82" i="34"/>
  <c r="H82" i="34"/>
  <c r="F82" i="34"/>
  <c r="I81" i="34"/>
  <c r="H81" i="34"/>
  <c r="F81" i="34"/>
  <c r="I80" i="34"/>
  <c r="H80" i="34"/>
  <c r="F80" i="34"/>
  <c r="I79" i="34"/>
  <c r="H79" i="34"/>
  <c r="F79" i="34"/>
  <c r="I78" i="34"/>
  <c r="H78" i="34"/>
  <c r="F78" i="34"/>
  <c r="I77" i="34"/>
  <c r="H77" i="34"/>
  <c r="F77" i="34"/>
  <c r="I76" i="34"/>
  <c r="H76" i="34"/>
  <c r="F76" i="34"/>
  <c r="I75" i="34"/>
  <c r="H75" i="34"/>
  <c r="F75" i="34"/>
  <c r="I74" i="34"/>
  <c r="H74" i="34"/>
  <c r="F74" i="34"/>
  <c r="I73" i="34"/>
  <c r="H73" i="34"/>
  <c r="F73" i="34"/>
  <c r="I72" i="34"/>
  <c r="H72" i="34"/>
  <c r="F72" i="34"/>
  <c r="I71" i="34"/>
  <c r="H71" i="34"/>
  <c r="F71" i="34"/>
  <c r="I70" i="34"/>
  <c r="H70" i="34"/>
  <c r="F70" i="34"/>
  <c r="I69" i="34"/>
  <c r="H69" i="34"/>
  <c r="F69" i="34"/>
  <c r="I68" i="34"/>
  <c r="H68" i="34"/>
  <c r="F68" i="34"/>
  <c r="I67" i="34"/>
  <c r="H67" i="34"/>
  <c r="F67" i="34"/>
  <c r="I65" i="34"/>
  <c r="F65" i="34"/>
  <c r="I66" i="34"/>
  <c r="H66" i="34"/>
  <c r="F66" i="34"/>
  <c r="I64" i="34"/>
  <c r="H64" i="34"/>
  <c r="F64" i="34"/>
  <c r="I63" i="34"/>
  <c r="H63" i="34"/>
  <c r="F63" i="34"/>
  <c r="I62" i="34"/>
  <c r="H62" i="34"/>
  <c r="F62" i="34"/>
  <c r="I61" i="34"/>
  <c r="H61" i="34"/>
  <c r="F61" i="34"/>
  <c r="I60" i="34"/>
  <c r="H60" i="34"/>
  <c r="F60" i="34"/>
  <c r="I59" i="34"/>
  <c r="H59" i="34"/>
  <c r="F59" i="34"/>
  <c r="I58" i="34"/>
  <c r="H58" i="34"/>
  <c r="F58" i="34"/>
  <c r="I57" i="34"/>
  <c r="H57" i="34"/>
  <c r="F57" i="34"/>
  <c r="I56" i="34"/>
  <c r="H56" i="34"/>
  <c r="F56" i="34"/>
  <c r="I55" i="34"/>
  <c r="H55" i="34"/>
  <c r="F55" i="34"/>
  <c r="I54" i="34"/>
  <c r="H54" i="34"/>
  <c r="F54" i="34"/>
  <c r="I53" i="34"/>
  <c r="H53" i="34"/>
  <c r="F53" i="34"/>
  <c r="I52" i="34"/>
  <c r="H52" i="34"/>
  <c r="F52" i="34"/>
  <c r="I51" i="34"/>
  <c r="H51" i="34"/>
  <c r="F51" i="34"/>
  <c r="I50" i="34"/>
  <c r="H50" i="34"/>
  <c r="F50" i="34"/>
  <c r="I49" i="34"/>
  <c r="H49" i="34"/>
  <c r="F49" i="34"/>
  <c r="I48" i="34"/>
  <c r="H48" i="34"/>
  <c r="F48" i="34"/>
  <c r="I46" i="34"/>
  <c r="H46" i="34"/>
  <c r="F46" i="34"/>
  <c r="I45" i="34"/>
  <c r="H45" i="34"/>
  <c r="F45" i="34"/>
  <c r="I44" i="34"/>
  <c r="H44" i="34"/>
  <c r="F44" i="34"/>
  <c r="I43" i="34"/>
  <c r="H43" i="34"/>
  <c r="F43" i="34"/>
  <c r="I42" i="34"/>
  <c r="H42" i="34"/>
  <c r="F42" i="34"/>
  <c r="I41" i="34"/>
  <c r="H41" i="34"/>
  <c r="F41" i="34"/>
  <c r="I40" i="34"/>
  <c r="H40" i="34"/>
  <c r="F40" i="34"/>
  <c r="I39" i="34"/>
  <c r="H39" i="34"/>
  <c r="F39" i="34"/>
  <c r="I38" i="34"/>
  <c r="H38" i="34"/>
  <c r="F38" i="34"/>
  <c r="I37" i="34"/>
  <c r="H37" i="34"/>
  <c r="F37" i="34"/>
  <c r="I36" i="34"/>
  <c r="H36" i="34"/>
  <c r="F36" i="34"/>
  <c r="I35" i="34"/>
  <c r="H35" i="34"/>
  <c r="F35" i="34"/>
  <c r="I34" i="34"/>
  <c r="H34" i="34"/>
  <c r="F34" i="34"/>
  <c r="I33" i="34"/>
  <c r="H33" i="34"/>
  <c r="F33" i="34"/>
  <c r="I32" i="34"/>
  <c r="H32" i="34"/>
  <c r="F32" i="34"/>
  <c r="I31" i="34"/>
  <c r="H31" i="34"/>
  <c r="F31" i="34"/>
  <c r="I30" i="34"/>
  <c r="H30" i="34"/>
  <c r="F30" i="34"/>
  <c r="I29" i="34"/>
  <c r="H29" i="34"/>
  <c r="F29" i="34"/>
  <c r="I28" i="34"/>
  <c r="H28" i="34"/>
  <c r="F28" i="34"/>
  <c r="I27" i="34"/>
  <c r="H27" i="34"/>
  <c r="F27" i="34"/>
  <c r="I26" i="34"/>
  <c r="H26" i="34"/>
  <c r="F26" i="34"/>
  <c r="I25" i="34"/>
  <c r="H25" i="34"/>
  <c r="F25" i="34"/>
  <c r="I24" i="34"/>
  <c r="H24" i="34"/>
  <c r="F24" i="34"/>
  <c r="I23" i="34"/>
  <c r="H23" i="34"/>
  <c r="F23" i="34"/>
  <c r="I22" i="34"/>
  <c r="H22" i="34"/>
  <c r="F22" i="34"/>
  <c r="I21" i="34"/>
  <c r="H21" i="34"/>
  <c r="F21" i="34"/>
  <c r="I20" i="34"/>
  <c r="H20" i="34"/>
  <c r="F20" i="34"/>
  <c r="I19" i="34"/>
  <c r="H19" i="34"/>
  <c r="F19" i="34"/>
  <c r="I18" i="34"/>
  <c r="H18" i="34"/>
  <c r="F18" i="34"/>
  <c r="I17" i="34"/>
  <c r="H17" i="34"/>
  <c r="F17" i="34"/>
  <c r="I16" i="34"/>
  <c r="H16" i="34"/>
  <c r="F16" i="34"/>
  <c r="I15" i="34"/>
  <c r="H15" i="34"/>
  <c r="F15" i="34"/>
  <c r="I14" i="34"/>
  <c r="H14" i="34"/>
  <c r="F14" i="34"/>
  <c r="I13" i="34"/>
  <c r="H13" i="34"/>
  <c r="F13" i="34"/>
  <c r="I8" i="34" l="1"/>
  <c r="I118" i="29"/>
  <c r="H118" i="29"/>
  <c r="F118" i="29"/>
  <c r="I256" i="29"/>
  <c r="H256" i="29"/>
  <c r="F256" i="29"/>
  <c r="I255" i="29"/>
  <c r="H255" i="29"/>
  <c r="F255" i="29"/>
  <c r="I251" i="29"/>
  <c r="H251" i="29"/>
  <c r="F251" i="29"/>
  <c r="I250" i="29"/>
  <c r="H250" i="29"/>
  <c r="F250" i="29"/>
  <c r="I247" i="29"/>
  <c r="H247" i="29"/>
  <c r="F247" i="29"/>
  <c r="I246" i="29"/>
  <c r="H246" i="29"/>
  <c r="F246" i="29"/>
  <c r="I245" i="29"/>
  <c r="H245" i="29"/>
  <c r="F245" i="29"/>
  <c r="I243" i="29"/>
  <c r="H243" i="29"/>
  <c r="F243" i="29"/>
  <c r="I259" i="29"/>
  <c r="H259" i="29"/>
  <c r="F259" i="29"/>
  <c r="I258" i="29"/>
  <c r="H258" i="29"/>
  <c r="F258" i="29"/>
  <c r="I230" i="29"/>
  <c r="H230" i="29"/>
  <c r="F230" i="29"/>
  <c r="I229" i="29"/>
  <c r="H229" i="29"/>
  <c r="F229" i="29"/>
  <c r="I257" i="29"/>
  <c r="H257" i="29"/>
  <c r="F257" i="29"/>
  <c r="I228" i="29"/>
  <c r="H228" i="29"/>
  <c r="F228" i="29"/>
  <c r="I226" i="29"/>
  <c r="H226" i="29"/>
  <c r="F226" i="29"/>
  <c r="I225" i="29"/>
  <c r="H225" i="29"/>
  <c r="F225" i="29"/>
  <c r="I253" i="29"/>
  <c r="H253" i="29"/>
  <c r="F253" i="29"/>
  <c r="I224" i="29"/>
  <c r="H224" i="29"/>
  <c r="F224" i="29"/>
  <c r="I221" i="29"/>
  <c r="F221" i="29"/>
  <c r="I220" i="29"/>
  <c r="H220" i="29"/>
  <c r="F220" i="29"/>
  <c r="I218" i="29"/>
  <c r="H218" i="29"/>
  <c r="F218" i="29"/>
  <c r="I217" i="29"/>
  <c r="H217" i="29"/>
  <c r="F217" i="29"/>
  <c r="I215" i="29"/>
  <c r="H215" i="29"/>
  <c r="F215" i="29"/>
  <c r="I214" i="29"/>
  <c r="H214" i="29"/>
  <c r="F214" i="29"/>
  <c r="I213" i="29"/>
  <c r="H213" i="29"/>
  <c r="F213" i="29"/>
  <c r="I210" i="29"/>
  <c r="H210" i="29"/>
  <c r="F210" i="29"/>
  <c r="I209" i="29"/>
  <c r="H209" i="29"/>
  <c r="F209" i="29"/>
  <c r="I197" i="29"/>
  <c r="H197" i="29"/>
  <c r="F197" i="29"/>
  <c r="I193" i="29"/>
  <c r="H193" i="29"/>
  <c r="F193" i="29"/>
  <c r="I192" i="29"/>
  <c r="H192" i="29"/>
  <c r="F192" i="29"/>
  <c r="I191" i="29"/>
  <c r="H191" i="29"/>
  <c r="F191" i="29"/>
  <c r="I190" i="29"/>
  <c r="H190" i="29"/>
  <c r="F190" i="29"/>
  <c r="I240" i="29"/>
  <c r="H240" i="29"/>
  <c r="F240" i="29"/>
  <c r="I239" i="29"/>
  <c r="H239" i="29"/>
  <c r="F239" i="29"/>
  <c r="I238" i="29"/>
  <c r="H238" i="29"/>
  <c r="F238" i="29"/>
  <c r="I237" i="29"/>
  <c r="H237" i="29"/>
  <c r="F237" i="29"/>
  <c r="I182" i="29"/>
  <c r="H182" i="29"/>
  <c r="F182" i="29"/>
  <c r="I179" i="29"/>
  <c r="H179" i="29"/>
  <c r="F179" i="29"/>
  <c r="I178" i="29"/>
  <c r="F178" i="29"/>
  <c r="I177" i="29"/>
  <c r="H177" i="29"/>
  <c r="F177" i="29"/>
  <c r="I175" i="29"/>
  <c r="H175" i="29"/>
  <c r="F175" i="29"/>
  <c r="I174" i="29"/>
  <c r="H174" i="29"/>
  <c r="F174" i="29"/>
  <c r="I172" i="29"/>
  <c r="H172" i="29"/>
  <c r="F172" i="29"/>
  <c r="I170" i="29"/>
  <c r="H170" i="29"/>
  <c r="F170" i="29"/>
  <c r="I169" i="29"/>
  <c r="H169" i="29"/>
  <c r="F169" i="29"/>
  <c r="I167" i="29"/>
  <c r="H167" i="29"/>
  <c r="F167" i="29"/>
  <c r="I165" i="29"/>
  <c r="H165" i="29"/>
  <c r="F165" i="29"/>
  <c r="I163" i="29"/>
  <c r="H163" i="29"/>
  <c r="F163" i="29"/>
  <c r="I160" i="29"/>
  <c r="H160" i="29"/>
  <c r="F160" i="29"/>
  <c r="I159" i="29"/>
  <c r="H159" i="29"/>
  <c r="F159" i="29"/>
  <c r="I158" i="29"/>
  <c r="H158" i="29"/>
  <c r="F158" i="29"/>
  <c r="I157" i="29"/>
  <c r="H157" i="29"/>
  <c r="F157" i="29"/>
  <c r="I156" i="29"/>
  <c r="H156" i="29"/>
  <c r="F156" i="29"/>
  <c r="I155" i="29"/>
  <c r="H155" i="29"/>
  <c r="F155" i="29"/>
  <c r="I153" i="29"/>
  <c r="H153" i="29"/>
  <c r="F153" i="29"/>
  <c r="I152" i="29"/>
  <c r="H152" i="29"/>
  <c r="F152" i="29"/>
  <c r="I151" i="29"/>
  <c r="H151" i="29"/>
  <c r="F151" i="29"/>
  <c r="I149" i="29"/>
  <c r="H149" i="29"/>
  <c r="F149" i="29"/>
  <c r="I147" i="29"/>
  <c r="H147" i="29"/>
  <c r="F147" i="29"/>
  <c r="I146" i="29"/>
  <c r="H146" i="29"/>
  <c r="F146" i="29"/>
  <c r="I145" i="29"/>
  <c r="H145" i="29"/>
  <c r="F145" i="29"/>
  <c r="I144" i="29"/>
  <c r="H144" i="29"/>
  <c r="F144" i="29"/>
  <c r="I143" i="29"/>
  <c r="H143" i="29"/>
  <c r="F143" i="29"/>
  <c r="I139" i="29"/>
  <c r="H139" i="29"/>
  <c r="F139" i="29"/>
  <c r="I138" i="29"/>
  <c r="H138" i="29"/>
  <c r="F138" i="29"/>
  <c r="I137" i="29"/>
  <c r="H137" i="29"/>
  <c r="F137" i="29"/>
  <c r="I136" i="29"/>
  <c r="H136" i="29"/>
  <c r="F136" i="29"/>
  <c r="I134" i="29"/>
  <c r="H134" i="29"/>
  <c r="F134" i="29"/>
  <c r="I9" i="29" l="1"/>
  <c r="I8" i="29"/>
  <c r="I132" i="29"/>
  <c r="H132" i="29"/>
  <c r="F132" i="29"/>
  <c r="I131" i="29"/>
  <c r="H131" i="29"/>
  <c r="F131" i="29"/>
  <c r="I130" i="29"/>
  <c r="H130" i="29"/>
  <c r="F130" i="29"/>
  <c r="I129" i="29"/>
  <c r="H129" i="29"/>
  <c r="F129" i="29"/>
  <c r="I127" i="29"/>
  <c r="H127" i="29"/>
  <c r="F127" i="29"/>
  <c r="I126" i="29"/>
  <c r="H126" i="29"/>
  <c r="F126" i="29"/>
  <c r="I123" i="29"/>
  <c r="F123" i="29"/>
  <c r="H123" i="29"/>
  <c r="F122" i="29"/>
  <c r="I119" i="29"/>
  <c r="H119" i="29"/>
  <c r="F119" i="29"/>
  <c r="I115" i="29"/>
  <c r="H115" i="29"/>
  <c r="F115" i="29"/>
  <c r="I114" i="29"/>
  <c r="H114" i="29"/>
  <c r="F114" i="29"/>
  <c r="I113" i="29"/>
  <c r="H113" i="29"/>
  <c r="F113" i="29"/>
  <c r="I111" i="29"/>
  <c r="H111" i="29"/>
  <c r="F111" i="29"/>
  <c r="F110" i="29"/>
  <c r="I108" i="29"/>
  <c r="H108" i="29"/>
  <c r="F108" i="29"/>
  <c r="I107" i="29"/>
  <c r="H107" i="29"/>
  <c r="F107" i="29"/>
  <c r="I106" i="29"/>
  <c r="H106" i="29"/>
  <c r="F106" i="29"/>
  <c r="I105" i="29"/>
  <c r="F105" i="29"/>
  <c r="I104" i="29"/>
  <c r="H104" i="29"/>
  <c r="F104" i="29"/>
  <c r="I102" i="29"/>
  <c r="H102" i="29"/>
  <c r="F102" i="29"/>
  <c r="I98" i="29"/>
  <c r="H98" i="29"/>
  <c r="F98" i="29"/>
  <c r="I97" i="29"/>
  <c r="H97" i="29"/>
  <c r="F97" i="29"/>
  <c r="I94" i="29"/>
  <c r="H94" i="29"/>
  <c r="F94" i="29"/>
  <c r="I91" i="29"/>
  <c r="H91" i="29"/>
  <c r="F91" i="29"/>
  <c r="I86" i="29"/>
  <c r="H86" i="29"/>
  <c r="F86" i="29"/>
  <c r="I85" i="29"/>
  <c r="H85" i="29"/>
  <c r="F85" i="29"/>
  <c r="I84" i="29"/>
  <c r="H84" i="29"/>
  <c r="F84" i="29"/>
  <c r="I83" i="29"/>
  <c r="H83" i="29"/>
  <c r="F83" i="29"/>
  <c r="I82" i="29"/>
  <c r="H82" i="29"/>
  <c r="F82" i="29"/>
  <c r="I81" i="29"/>
  <c r="H81" i="29"/>
  <c r="F81" i="29"/>
  <c r="I78" i="29"/>
  <c r="H78" i="29"/>
  <c r="F78" i="29"/>
  <c r="I75" i="29"/>
  <c r="H75" i="29"/>
  <c r="F75" i="29"/>
  <c r="I73" i="29"/>
  <c r="F73" i="29"/>
  <c r="I72" i="29"/>
  <c r="H72" i="29"/>
  <c r="F72" i="29"/>
  <c r="I71" i="29"/>
  <c r="H71" i="29"/>
  <c r="F71" i="29"/>
  <c r="I70" i="29"/>
  <c r="H70" i="29"/>
  <c r="F70" i="29"/>
  <c r="I68" i="29"/>
  <c r="H68" i="29"/>
  <c r="F68" i="29"/>
  <c r="I67" i="29"/>
  <c r="H67" i="29"/>
  <c r="F67" i="29"/>
  <c r="I66" i="29"/>
  <c r="H66" i="29"/>
  <c r="F66" i="29"/>
  <c r="I65" i="29"/>
  <c r="H65" i="29"/>
  <c r="F65" i="29"/>
  <c r="I61" i="29"/>
  <c r="F61" i="29"/>
  <c r="I60" i="29"/>
  <c r="H60" i="29"/>
  <c r="F60" i="29"/>
  <c r="F59" i="29"/>
  <c r="I57" i="29"/>
  <c r="H57" i="29"/>
  <c r="F57" i="29"/>
  <c r="I56" i="29"/>
  <c r="H56" i="29"/>
  <c r="F56" i="29"/>
  <c r="I55" i="29"/>
  <c r="H55" i="29"/>
  <c r="F55" i="29"/>
  <c r="I54" i="29"/>
  <c r="H54" i="29"/>
  <c r="F54" i="29"/>
  <c r="I52" i="29"/>
  <c r="H52" i="29"/>
  <c r="F52" i="29"/>
  <c r="I51" i="29"/>
  <c r="H51" i="29"/>
  <c r="F51" i="29"/>
  <c r="I50" i="29"/>
  <c r="H50" i="29"/>
  <c r="F50" i="29"/>
  <c r="I49" i="29"/>
  <c r="H49" i="29"/>
  <c r="F49" i="29"/>
  <c r="I46" i="29"/>
  <c r="H46" i="29"/>
  <c r="F46" i="29"/>
  <c r="I45" i="29"/>
  <c r="H45" i="29"/>
  <c r="F45" i="29"/>
  <c r="I42" i="29"/>
  <c r="H42" i="29"/>
  <c r="F42" i="29"/>
  <c r="I41" i="29"/>
  <c r="H41" i="29"/>
  <c r="F41" i="29"/>
  <c r="I37" i="29"/>
  <c r="H37" i="29"/>
  <c r="F37" i="29"/>
  <c r="F36" i="29"/>
  <c r="I35" i="29"/>
  <c r="H35" i="29"/>
  <c r="F35" i="29"/>
  <c r="I34" i="29"/>
  <c r="H34" i="29"/>
  <c r="F34" i="29"/>
  <c r="I32" i="29"/>
  <c r="H32" i="29"/>
  <c r="F32" i="29"/>
  <c r="I31" i="29"/>
  <c r="H31" i="29"/>
  <c r="F31" i="29"/>
  <c r="I30" i="29"/>
  <c r="H30" i="29"/>
  <c r="F30" i="29"/>
  <c r="I29" i="29"/>
  <c r="H29" i="29"/>
  <c r="F29" i="29"/>
  <c r="I28" i="29"/>
  <c r="H28" i="29"/>
  <c r="F28" i="29"/>
  <c r="I24" i="29"/>
  <c r="H24" i="29"/>
  <c r="F24" i="29"/>
  <c r="I22" i="29"/>
  <c r="H22" i="29"/>
  <c r="F22" i="29"/>
  <c r="I21" i="29"/>
  <c r="H21" i="29"/>
  <c r="F21" i="29"/>
  <c r="I20" i="29"/>
  <c r="H20" i="29"/>
  <c r="F20" i="29"/>
  <c r="I19" i="29"/>
  <c r="H19" i="29"/>
  <c r="F19" i="29"/>
  <c r="I17" i="29"/>
  <c r="H17" i="29"/>
  <c r="F17" i="29"/>
  <c r="I14" i="29"/>
  <c r="I15" i="29"/>
  <c r="H15" i="29"/>
  <c r="F15" i="29"/>
  <c r="H14" i="29"/>
  <c r="F14" i="29"/>
  <c r="H13" i="29"/>
  <c r="I13" i="29"/>
  <c r="F13" i="29"/>
  <c r="I9" i="31" l="1"/>
  <c r="I5" i="34"/>
  <c r="I7" i="34" l="1"/>
  <c r="I9" i="34"/>
  <c r="I6" i="34" l="1"/>
  <c r="I8" i="31" l="1"/>
  <c r="I7" i="31" l="1"/>
  <c r="J922" i="10" l="1"/>
  <c r="I7" i="29"/>
  <c r="I6" i="31" l="1"/>
  <c r="I6" i="29"/>
  <c r="I5" i="31"/>
</calcChain>
</file>

<file path=xl/sharedStrings.xml><?xml version="1.0" encoding="utf-8"?>
<sst xmlns="http://schemas.openxmlformats.org/spreadsheetml/2006/main" count="7919" uniqueCount="1406">
  <si>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</si>
  <si>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</si>
  <si>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</si>
  <si>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</si>
  <si>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</si>
  <si>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</si>
  <si>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</si>
  <si>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</si>
  <si>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</si>
  <si>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</si>
  <si>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</si>
  <si>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</si>
  <si>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</si>
  <si>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</si>
  <si>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</si>
  <si>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</si>
  <si>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</si>
  <si>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</si>
  <si>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</si>
  <si>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</si>
  <si>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</si>
  <si>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</si>
  <si>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</si>
  <si>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</si>
  <si>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</si>
  <si>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</si>
  <si>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</si>
  <si>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</si>
  <si>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</si>
  <si>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</si>
  <si>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</si>
  <si>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</si>
  <si>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</si>
  <si>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</si>
  <si>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</si>
  <si>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</si>
  <si>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</si>
  <si>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</si>
  <si>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</si>
  <si>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</si>
  <si>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</si>
  <si>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</si>
  <si>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</si>
  <si>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</si>
  <si>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</si>
  <si>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</si>
  <si>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</si>
  <si>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</si>
  <si>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</si>
  <si>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</si>
  <si>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</si>
  <si>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</si>
  <si>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</si>
  <si>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</si>
  <si>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</si>
  <si>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</si>
  <si>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</si>
  <si>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</si>
  <si>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</si>
  <si>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</si>
  <si>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</si>
  <si>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</si>
  <si>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</si>
  <si>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</si>
  <si>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</si>
  <si>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</si>
  <si>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</si>
  <si>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</si>
  <si>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</si>
  <si>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</si>
  <si>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</si>
  <si>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</si>
  <si>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</si>
  <si>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</si>
  <si>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</si>
  <si>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</si>
  <si>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</si>
  <si>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</si>
  <si>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</si>
  <si>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</si>
  <si>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</si>
  <si>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</si>
  <si>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</si>
  <si>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</si>
  <si>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</si>
  <si>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</si>
  <si>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</si>
  <si>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</si>
  <si>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</si>
  <si>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</si>
  <si>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</si>
  <si>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</si>
  <si>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</si>
  <si>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</si>
  <si>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</si>
  <si>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</si>
  <si>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</si>
  <si>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</si>
  <si>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</si>
  <si>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</si>
  <si>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</si>
  <si>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</si>
  <si>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</si>
  <si>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</si>
  <si>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</si>
  <si>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</si>
  <si>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</si>
  <si>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</si>
  <si>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</si>
  <si>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</si>
  <si>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</si>
  <si>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</si>
  <si>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</si>
  <si>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</si>
  <si>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</si>
  <si>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</si>
  <si>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</si>
  <si>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</si>
  <si>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</si>
  <si>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</si>
  <si>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</si>
  <si>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</si>
  <si>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</si>
  <si>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</si>
  <si>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</si>
  <si>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</si>
  <si>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</si>
  <si>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</si>
  <si>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</si>
  <si>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</si>
  <si>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</si>
  <si>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</si>
  <si>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</si>
  <si>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</si>
  <si>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</si>
  <si>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</si>
  <si>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</si>
  <si>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</si>
  <si>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</si>
  <si>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</si>
  <si>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</si>
  <si>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</si>
  <si>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</si>
  <si>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</si>
  <si>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</si>
  <si>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</si>
  <si>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</si>
  <si>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</si>
  <si>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</si>
  <si>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</si>
  <si>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</si>
  <si>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</si>
  <si>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</si>
  <si>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</si>
  <si>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</si>
  <si>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</si>
  <si>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</si>
  <si>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</si>
  <si>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</si>
  <si>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</si>
  <si>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</si>
  <si>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</si>
  <si>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</si>
  <si>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</si>
  <si>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</si>
  <si>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</si>
  <si>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</si>
  <si>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</si>
  <si>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</si>
  <si>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</si>
  <si>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</si>
  <si>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</si>
  <si>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</si>
  <si>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</si>
  <si>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</si>
  <si>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</si>
  <si>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</si>
  <si>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</si>
  <si>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</si>
  <si>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</si>
  <si>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</si>
  <si>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</si>
  <si>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</si>
  <si>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</si>
  <si>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</si>
  <si>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</si>
  <si>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</si>
  <si>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</si>
  <si>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</si>
  <si>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</si>
  <si>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</si>
  <si>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</si>
  <si>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</si>
  <si>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</si>
  <si>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</si>
  <si>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</si>
  <si>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</si>
  <si>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</si>
  <si>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</si>
  <si>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</si>
  <si>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</si>
  <si>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</si>
  <si>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</si>
  <si>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</si>
  <si>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</si>
  <si>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</si>
  <si>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</si>
  <si>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</si>
  <si>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</si>
  <si>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</si>
  <si>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</si>
  <si>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</si>
  <si>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</si>
  <si>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</si>
  <si>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</si>
  <si>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</si>
  <si>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</si>
  <si>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</si>
  <si>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</si>
  <si>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</si>
  <si>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</si>
  <si>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</si>
  <si>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</si>
  <si>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</si>
  <si>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</si>
  <si>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</si>
  <si>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</si>
  <si>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</si>
  <si>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</si>
  <si>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</si>
  <si>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</si>
  <si>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</si>
  <si>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</si>
  <si>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</si>
  <si>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</si>
  <si>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</si>
  <si>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</si>
  <si>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</si>
  <si>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</si>
  <si>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</si>
  <si>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</si>
  <si>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</si>
  <si>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</si>
  <si>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</si>
  <si>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</si>
  <si>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</si>
  <si>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</si>
  <si>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</si>
  <si>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</si>
  <si>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</si>
  <si>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</si>
  <si>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</si>
  <si>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</si>
  <si>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</si>
  <si>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</si>
  <si>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</si>
  <si>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</si>
  <si>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</si>
  <si>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</si>
  <si>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</si>
  <si>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</si>
  <si>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</si>
  <si>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</si>
  <si>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</si>
  <si>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</si>
  <si>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</si>
  <si>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</si>
  <si>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</si>
  <si>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</si>
  <si>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</si>
  <si>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</si>
  <si>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</si>
  <si>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</si>
  <si>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</si>
  <si>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</si>
  <si>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</si>
  <si>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</si>
  <si>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</si>
  <si>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</si>
  <si>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</si>
  <si>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</si>
  <si>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</si>
  <si>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</si>
  <si>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</si>
  <si>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</si>
  <si>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</si>
  <si>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</si>
  <si>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</si>
  <si>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</si>
  <si>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</si>
  <si>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</si>
  <si>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</si>
  <si>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</si>
  <si>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</si>
  <si>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</si>
  <si>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</si>
  <si>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</si>
  <si>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</si>
  <si>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</si>
  <si>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</si>
  <si>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</si>
  <si>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</si>
  <si>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</si>
  <si>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</si>
  <si>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</si>
  <si>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</si>
  <si>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</si>
  <si>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</si>
  <si>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</si>
  <si>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</si>
  <si>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</si>
  <si>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</si>
  <si>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</si>
  <si>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</si>
  <si>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</si>
  <si>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</si>
  <si>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</si>
  <si>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</si>
  <si>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</si>
  <si>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</si>
  <si>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</si>
  <si>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</si>
  <si>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</si>
  <si>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</si>
  <si>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</si>
  <si>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</si>
  <si>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</si>
  <si>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</si>
  <si>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</si>
  <si>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</si>
  <si>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</si>
  <si>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</si>
  <si>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</si>
  <si>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</si>
  <si>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</si>
  <si>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</si>
  <si>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</si>
  <si>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</si>
  <si>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</si>
  <si>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</si>
  <si>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</si>
  <si>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</si>
  <si>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</si>
  <si>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</si>
  <si>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</si>
  <si>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</si>
  <si>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</si>
  <si>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</si>
  <si>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</si>
  <si>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</si>
  <si>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</si>
  <si>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</si>
  <si>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</si>
  <si>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</si>
  <si>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</si>
  <si>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</si>
  <si>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</si>
  <si>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</si>
  <si>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</si>
  <si>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</si>
  <si>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</si>
  <si>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</si>
  <si>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</si>
  <si>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</si>
  <si>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</si>
  <si>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</si>
  <si>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</si>
  <si>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</si>
  <si>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</si>
  <si>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</si>
  <si>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</si>
  <si>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</si>
  <si>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</si>
  <si>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</si>
  <si>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</si>
  <si>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</si>
  <si>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</si>
  <si>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</si>
  <si>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</si>
  <si>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</si>
  <si>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</si>
  <si>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</si>
  <si>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</si>
  <si>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</si>
  <si>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</si>
  <si>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</si>
  <si>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</si>
  <si>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</si>
  <si>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</si>
  <si>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</si>
  <si>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</si>
  <si>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</si>
  <si>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</si>
  <si>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</si>
  <si>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</si>
  <si>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</si>
  <si>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</si>
  <si>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</si>
  <si>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</si>
  <si>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</si>
  <si>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</si>
  <si>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</si>
  <si>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</si>
  <si>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</si>
  <si>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</si>
  <si>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</si>
  <si>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</si>
  <si>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</si>
  <si>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</si>
  <si>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</si>
  <si>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</si>
  <si>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</si>
  <si>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</si>
  <si>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</si>
  <si>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</si>
  <si>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</si>
  <si>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</si>
  <si>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</si>
  <si>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</si>
  <si>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</si>
  <si>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</si>
  <si>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</si>
  <si>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</si>
  <si>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</si>
  <si>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</si>
  <si>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</si>
  <si>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</si>
  <si>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</si>
  <si>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</si>
  <si>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</si>
  <si>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</si>
  <si>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</si>
  <si>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</si>
  <si>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</si>
  <si>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</si>
  <si>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</si>
  <si>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</si>
  <si>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</si>
  <si>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</si>
  <si>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</si>
  <si>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</si>
  <si>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</si>
  <si>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</si>
  <si>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</si>
  <si>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</si>
  <si>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</si>
  <si>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</si>
  <si>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</si>
  <si>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</si>
  <si>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</si>
  <si>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</si>
  <si>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</si>
  <si>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</si>
  <si>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</si>
  <si>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</si>
  <si>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</si>
  <si>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</si>
  <si>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</si>
  <si>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</si>
  <si>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</si>
  <si>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</si>
  <si>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</si>
  <si>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</si>
  <si>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</si>
  <si>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</si>
  <si>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</si>
  <si>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</si>
  <si>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</si>
  <si>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</si>
  <si>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</si>
  <si>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</si>
  <si>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</si>
  <si>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</si>
  <si>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</si>
  <si>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</si>
  <si>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</si>
  <si>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</si>
  <si>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</si>
  <si>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</si>
  <si>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</si>
  <si>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</si>
  <si>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</si>
  <si>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</si>
  <si>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</si>
  <si>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</si>
  <si>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</si>
  <si>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</si>
  <si>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</si>
  <si>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</si>
  <si>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</si>
  <si>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</si>
  <si>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</si>
  <si>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</si>
  <si>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</si>
  <si>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</si>
  <si>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</si>
  <si>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</si>
  <si>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</si>
  <si>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</si>
  <si>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</si>
  <si>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</si>
  <si>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</si>
  <si>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</si>
  <si>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</si>
  <si>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</si>
  <si>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</si>
  <si>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</si>
  <si>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</si>
  <si>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</si>
  <si>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</si>
  <si>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</si>
  <si>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</si>
  <si>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</si>
  <si>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</si>
  <si>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</si>
  <si>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</si>
  <si>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</si>
  <si>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</si>
  <si>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</si>
  <si>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</si>
  <si>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</si>
  <si>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</si>
  <si>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</si>
  <si>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</si>
  <si>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</si>
  <si>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</si>
  <si>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</si>
  <si>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</si>
  <si>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</si>
  <si>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</si>
  <si>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</si>
  <si>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</si>
  <si>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</si>
  <si>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</si>
  <si>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</si>
  <si>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</si>
  <si>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</si>
  <si>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</si>
  <si>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</si>
  <si>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</si>
  <si>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</si>
  <si>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</si>
  <si>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</si>
  <si>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</si>
  <si>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</si>
  <si>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</si>
  <si>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</si>
  <si>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</si>
  <si>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</si>
  <si>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</si>
  <si>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</si>
  <si>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</si>
  <si>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</si>
  <si>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</si>
  <si>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</si>
  <si>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</si>
  <si>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</si>
  <si>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</si>
  <si>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</si>
  <si>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</si>
  <si>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</si>
  <si>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</si>
  <si>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</si>
  <si>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</si>
  <si>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</si>
  <si>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</si>
  <si>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</si>
  <si>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</si>
  <si>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</si>
  <si>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</si>
  <si>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</si>
  <si>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</si>
  <si>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</si>
  <si>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</si>
  <si>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</si>
  <si>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</si>
  <si>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</si>
  <si>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</si>
  <si>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</si>
  <si>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</si>
  <si>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</si>
  <si>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</si>
  <si>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</si>
  <si>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</si>
  <si>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</si>
  <si>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</si>
  <si>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</si>
  <si>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</si>
  <si>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</si>
  <si>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</si>
  <si>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</si>
  <si>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</si>
  <si>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</si>
  <si>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</si>
  <si>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</si>
  <si>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</si>
  <si>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</si>
  <si>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</si>
  <si>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</si>
  <si>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</si>
  <si>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</si>
  <si>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</si>
  <si>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</si>
  <si>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</si>
  <si>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</si>
  <si>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</si>
  <si>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</si>
  <si>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</si>
  <si>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</si>
  <si>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</si>
  <si>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</si>
  <si>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</si>
  <si>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</si>
  <si>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</si>
  <si>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</si>
  <si>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</si>
  <si>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</si>
  <si>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</si>
  <si>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</si>
  <si>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</si>
  <si>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</si>
  <si>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</si>
  <si>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</si>
  <si>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</si>
  <si>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</si>
  <si>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</si>
  <si>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</si>
  <si>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</si>
  <si>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</si>
  <si>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</si>
  <si>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</si>
  <si>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</si>
  <si>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</si>
  <si>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</si>
  <si>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</si>
  <si>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</si>
  <si>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</si>
  <si>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</si>
  <si>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</si>
  <si>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</si>
  <si>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</si>
  <si>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</si>
  <si>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</si>
  <si>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</si>
  <si>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</si>
  <si>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</si>
  <si>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</si>
  <si>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</si>
  <si>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</si>
  <si>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</si>
  <si>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</si>
  <si>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</si>
  <si>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</si>
  <si>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</si>
  <si>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</si>
  <si>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</si>
  <si>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</si>
  <si>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</si>
  <si>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</si>
  <si>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</si>
  <si>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</si>
  <si>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</si>
  <si>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</si>
  <si>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</si>
  <si>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</si>
  <si>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</si>
  <si>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</si>
  <si>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</si>
  <si>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</si>
  <si>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</si>
  <si>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</si>
  <si>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</si>
  <si>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</si>
  <si>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</si>
  <si>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</si>
  <si>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</si>
  <si>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</si>
  <si>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</si>
  <si>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</si>
  <si>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</si>
  <si>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</si>
  <si>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</si>
  <si>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</si>
  <si>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</si>
  <si>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</si>
  <si>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</si>
  <si>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</si>
  <si>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</si>
  <si>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</si>
  <si>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</si>
  <si>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</si>
  <si>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</si>
  <si>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</si>
  <si>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</si>
  <si>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</si>
  <si>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</si>
  <si>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</si>
  <si>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</si>
  <si>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</si>
  <si>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</si>
  <si>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</si>
  <si>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</si>
  <si>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</si>
  <si>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</si>
  <si>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</si>
  <si>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</si>
  <si>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</si>
  <si>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</si>
  <si>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</si>
  <si>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</si>
  <si>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</si>
  <si>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</si>
  <si>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</si>
  <si>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</si>
  <si>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</si>
  <si>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</si>
  <si>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</si>
  <si>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</si>
  <si>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</si>
  <si>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</si>
  <si>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</si>
  <si>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</si>
  <si>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</si>
  <si>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</si>
  <si>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</si>
  <si>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</si>
  <si>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</si>
  <si>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</si>
  <si>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</si>
  <si>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</si>
  <si>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</si>
  <si>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</si>
  <si>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</si>
  <si>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</si>
  <si>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</si>
  <si>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</si>
  <si>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</si>
  <si>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</si>
  <si>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</si>
  <si>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</si>
  <si>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</si>
  <si>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</si>
  <si>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</si>
  <si>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</si>
  <si>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</si>
  <si>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</si>
  <si>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</si>
  <si>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</si>
  <si>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</si>
  <si>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</si>
  <si>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</si>
  <si>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</si>
  <si>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</si>
  <si>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</si>
  <si>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</si>
  <si>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</si>
  <si>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</si>
  <si>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</si>
  <si>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</si>
  <si>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</si>
  <si>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</si>
  <si>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</si>
  <si>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</si>
  <si>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</si>
  <si>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</si>
  <si>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</si>
  <si>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</si>
  <si>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</si>
  <si>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</si>
  <si>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</si>
  <si>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</si>
  <si>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</si>
  <si>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</si>
  <si>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</si>
  <si>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</si>
  <si>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</si>
  <si>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</si>
  <si>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</si>
  <si>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</si>
  <si>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</si>
  <si>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</si>
  <si>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</si>
  <si>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</si>
  <si>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</si>
  <si>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</si>
  <si>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</si>
  <si>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</si>
  <si>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</si>
  <si>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</si>
  <si>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</si>
  <si>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</si>
  <si>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</si>
  <si>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</si>
  <si>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</si>
  <si>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</si>
  <si>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</si>
  <si>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</si>
  <si>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</si>
  <si>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</si>
  <si>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</si>
  <si>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</si>
  <si>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</si>
  <si>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</si>
  <si>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</si>
  <si>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</si>
  <si>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</si>
  <si>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</si>
  <si>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</si>
  <si>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</si>
  <si>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</si>
  <si>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</si>
  <si>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</si>
  <si>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</si>
  <si>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</si>
  <si>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</si>
  <si>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</si>
  <si>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</si>
  <si>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</si>
  <si>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</si>
  <si>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</si>
  <si>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</si>
  <si>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</si>
  <si>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</si>
  <si>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</si>
  <si>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</si>
  <si>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</si>
  <si>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</si>
  <si>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</si>
  <si>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</si>
  <si>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</si>
  <si>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</si>
  <si>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</si>
  <si>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Dickinson Financial Corporation II</t>
  </si>
  <si>
    <t>Farmers &amp; Merchants Bancshares, Inc.</t>
  </si>
  <si>
    <t>FC Holdings, Inc.</t>
  </si>
  <si>
    <t>Fidelity Federal Bancorp</t>
  </si>
  <si>
    <t>First Banks, Inc.</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</si>
  <si>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</si>
  <si>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</si>
  <si>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</si>
  <si>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</si>
  <si>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</si>
  <si>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</si>
  <si>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</si>
  <si>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</si>
  <si>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</si>
  <si>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</si>
  <si>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</si>
  <si>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</si>
  <si>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</si>
  <si>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</si>
  <si>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</si>
  <si>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</si>
  <si>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Northwest Bancorporation, Inc.</t>
  </si>
  <si>
    <t>Omega Capital 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</si>
  <si>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</si>
  <si>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</si>
  <si>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</si>
  <si>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</si>
  <si>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</si>
  <si>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</si>
  <si>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</si>
  <si>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</si>
  <si>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</si>
  <si>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</si>
  <si>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</si>
  <si>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</si>
  <si>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</si>
  <si>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</si>
  <si>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</si>
  <si>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</si>
  <si>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</si>
  <si>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</si>
  <si>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Valley Financial Corporation</t>
  </si>
  <si>
    <t>NON-CUMULATIVE DIVIDENDS:</t>
  </si>
  <si>
    <t>Citizens Bank &amp; Trust Company</t>
  </si>
  <si>
    <t>Commonwealth Business Bank</t>
  </si>
  <si>
    <t>DeSoto County Bank</t>
  </si>
  <si>
    <t>First Sound Bank</t>
  </si>
  <si>
    <t>Georgia Primary Bank</t>
  </si>
  <si>
    <t>Gold Canyon Bank</t>
  </si>
  <si>
    <t>Goldwater Bank, N.A.</t>
  </si>
  <si>
    <t>Lone Star Bank</t>
  </si>
  <si>
    <t>Maryland Financial Bank</t>
  </si>
  <si>
    <t>Midtown Bank &amp; Trust Company</t>
  </si>
  <si>
    <t>OneUnited Bank</t>
  </si>
  <si>
    <t>Pacific Commerce Bank</t>
  </si>
  <si>
    <t>Premier Service Bank</t>
  </si>
  <si>
    <t>Saigon National Bank</t>
  </si>
  <si>
    <t>Santa Clara Valley Bank, N.A.</t>
  </si>
  <si>
    <t>U.S. Century Bank</t>
  </si>
  <si>
    <t>United American Bank</t>
  </si>
  <si>
    <t>US Metro Bank</t>
  </si>
  <si>
    <t>Alliance Financial Services, Inc.</t>
  </si>
  <si>
    <t>Duke Financial Group, Inc.</t>
  </si>
  <si>
    <t>First Trust Corporation</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</si>
  <si>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</si>
  <si>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</si>
  <si>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</si>
  <si>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</si>
  <si>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</si>
  <si>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</si>
  <si>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</si>
  <si>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</si>
  <si>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</si>
  <si>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</si>
  <si>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</si>
  <si>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</si>
  <si>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</si>
  <si>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</si>
  <si>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</si>
  <si>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</si>
  <si>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</si>
  <si>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</si>
  <si>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</si>
  <si>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</si>
  <si>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</si>
  <si>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</si>
  <si>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</si>
  <si>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</si>
  <si>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</si>
  <si>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</si>
  <si>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</si>
  <si>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</si>
  <si>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</si>
  <si>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</si>
  <si>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</si>
  <si>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</si>
  <si>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</si>
  <si>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</si>
  <si>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</si>
  <si>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</si>
  <si>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</si>
  <si>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</si>
  <si>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</si>
  <si>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</si>
  <si>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</si>
  <si>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</si>
  <si>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</si>
  <si>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</si>
  <si>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</si>
  <si>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</si>
  <si>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</si>
  <si>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</si>
  <si>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</si>
  <si>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</si>
  <si>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</si>
  <si>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</si>
  <si>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</si>
  <si>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</si>
  <si>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</si>
  <si>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</si>
  <si>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</si>
  <si>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</si>
  <si>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</si>
  <si>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</si>
  <si>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</si>
  <si>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</si>
  <si>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</si>
  <si>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</si>
  <si>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</si>
  <si>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</si>
  <si>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</si>
  <si>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</si>
  <si>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</si>
  <si>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</si>
  <si>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</si>
  <si>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</si>
  <si>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</si>
  <si>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</si>
  <si>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</si>
  <si>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</si>
  <si>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</si>
  <si>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</si>
  <si>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</si>
  <si>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</si>
  <si>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</si>
  <si>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</si>
  <si>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</si>
  <si>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</si>
  <si>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</si>
  <si>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</si>
  <si>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</si>
  <si>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</si>
  <si>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</si>
  <si>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</si>
  <si>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</si>
  <si>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</si>
  <si>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</si>
  <si>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</si>
  <si>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</si>
  <si>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</si>
  <si>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</si>
  <si>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</si>
  <si>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</si>
  <si>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</si>
  <si>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</si>
  <si>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</si>
  <si>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</si>
  <si>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</si>
  <si>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</si>
  <si>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</si>
  <si>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</si>
  <si>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</si>
  <si>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</si>
  <si>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</si>
  <si>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</si>
  <si>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</si>
  <si>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</si>
  <si>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</si>
  <si>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</si>
  <si>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</si>
  <si>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</si>
  <si>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</si>
  <si>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</si>
  <si>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</si>
  <si>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</si>
  <si>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</si>
  <si>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</si>
  <si>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</si>
  <si>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</si>
  <si>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</si>
  <si>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</si>
  <si>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</si>
  <si>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</si>
  <si>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</si>
  <si>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</si>
  <si>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</si>
  <si>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</si>
  <si>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</si>
  <si>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</si>
  <si>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</si>
  <si>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</si>
  <si>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</si>
  <si>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</si>
  <si>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</si>
  <si>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</si>
  <si>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</si>
  <si>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</si>
  <si>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</si>
  <si>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</si>
  <si>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</si>
  <si>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</si>
  <si>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</si>
  <si>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</si>
  <si>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</si>
  <si>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</si>
  <si>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</si>
  <si>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</si>
  <si>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</si>
  <si>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</si>
  <si>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</si>
  <si>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</si>
  <si>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</si>
  <si>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</si>
  <si>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</si>
  <si>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</si>
  <si>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</si>
  <si>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</si>
  <si>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</si>
  <si>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</si>
  <si>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</si>
  <si>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</si>
  <si>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</si>
  <si>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</si>
  <si>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</si>
  <si>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</si>
  <si>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</si>
  <si>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</si>
  <si>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</si>
  <si>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</si>
  <si>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</si>
  <si>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Carolina Bank Holdings, Inc.</t>
  </si>
  <si>
    <t>Coastal Banking Company, Inc.</t>
  </si>
  <si>
    <t>Eastern Virginia Bankshares, Inc.</t>
  </si>
  <si>
    <t>Greer Bancshares Incorporated</t>
  </si>
  <si>
    <t>HCSB Financial Corporation</t>
  </si>
  <si>
    <t>Highlands Independent Bancshares, Inc.</t>
  </si>
  <si>
    <t xml:space="preserve">HMN Financial, Inc. </t>
  </si>
  <si>
    <t>National Bancshares, Inc.</t>
  </si>
  <si>
    <t>Ojai Community Bank</t>
  </si>
  <si>
    <t>Patriot Bancshares, Inc.</t>
  </si>
  <si>
    <t>Private Bancorporation, Inc.</t>
  </si>
  <si>
    <t>Reliance Bancshares, Inc.</t>
  </si>
  <si>
    <t>SouthCrest Financial Group, Inc.</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</si>
  <si>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</si>
  <si>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</si>
  <si>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</si>
  <si>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</si>
  <si>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</si>
  <si>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</si>
  <si>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</si>
  <si>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</si>
  <si>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</si>
  <si>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</si>
  <si>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</si>
  <si>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</si>
  <si>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</si>
  <si>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</si>
  <si>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</si>
  <si>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</si>
  <si>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</si>
  <si>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</si>
  <si>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</si>
  <si>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</si>
  <si>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</si>
  <si>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</si>
  <si>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</si>
  <si>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</si>
  <si>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</si>
  <si>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</si>
  <si>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</si>
  <si>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</si>
  <si>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</si>
  <si>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</si>
  <si>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</si>
  <si>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</si>
  <si>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</si>
  <si>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</si>
  <si>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</si>
  <si>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</si>
  <si>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</si>
  <si>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</si>
  <si>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</si>
  <si>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</si>
  <si>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</si>
  <si>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</si>
  <si>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</si>
  <si>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</si>
  <si>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</si>
  <si>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</si>
  <si>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</si>
  <si>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</si>
  <si>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</si>
  <si>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</si>
  <si>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</si>
  <si>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</si>
  <si>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</si>
  <si>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</si>
  <si>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</si>
  <si>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</si>
  <si>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</si>
  <si>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</si>
  <si>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</si>
  <si>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</si>
  <si>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</si>
  <si>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</si>
  <si>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</si>
  <si>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</si>
  <si>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</si>
  <si>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</si>
  <si>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</si>
  <si>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</si>
  <si>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</si>
  <si>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</si>
  <si>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</si>
  <si>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</si>
  <si>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</si>
  <si>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</si>
  <si>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</si>
  <si>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</si>
  <si>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</si>
  <si>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</si>
  <si>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</si>
  <si>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</si>
  <si>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</si>
  <si>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</si>
  <si>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</si>
  <si>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</si>
  <si>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</si>
  <si>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</si>
  <si>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</si>
  <si>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</si>
  <si>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</si>
  <si>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</si>
  <si>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</si>
  <si>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</si>
  <si>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</si>
  <si>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</si>
  <si>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</si>
  <si>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</si>
  <si>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</si>
  <si>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</si>
  <si>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</si>
  <si>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</si>
  <si>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</si>
  <si>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</si>
  <si>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</si>
  <si>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</si>
  <si>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</si>
  <si>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</si>
  <si>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</si>
  <si>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</si>
  <si>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</si>
  <si>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</si>
  <si>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</si>
  <si>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</si>
  <si>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</si>
  <si>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</si>
  <si>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</si>
  <si>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</si>
  <si>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</si>
  <si>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</si>
  <si>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</si>
  <si>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</si>
  <si>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</si>
  <si>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</si>
  <si>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</si>
  <si>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</si>
  <si>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</si>
  <si>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</si>
  <si>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</si>
  <si>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</si>
  <si>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</si>
  <si>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</si>
  <si>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</si>
  <si>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</si>
  <si>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</si>
  <si>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</si>
  <si>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</si>
  <si>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</si>
  <si>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</si>
  <si>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</si>
  <si>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</si>
  <si>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</si>
  <si>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</si>
  <si>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</si>
  <si>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</si>
  <si>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</si>
  <si>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</si>
  <si>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</si>
  <si>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</si>
  <si>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</si>
  <si>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</si>
  <si>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</si>
  <si>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</si>
  <si>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</si>
  <si>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</si>
  <si>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</si>
  <si>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</si>
  <si>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</si>
  <si>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</si>
  <si>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</si>
  <si>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</si>
  <si>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</si>
  <si>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</si>
  <si>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</si>
  <si>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</si>
  <si>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</si>
  <si>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</si>
  <si>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</si>
  <si>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</si>
  <si>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</si>
  <si>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</si>
  <si>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</si>
  <si>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</si>
  <si>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</si>
  <si>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</si>
  <si>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</si>
  <si>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</si>
  <si>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</si>
  <si>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</si>
  <si>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</si>
  <si>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</si>
  <si>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</si>
  <si>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</si>
  <si>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</si>
  <si>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</si>
  <si>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</si>
  <si>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</si>
  <si>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</si>
  <si>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</si>
  <si>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</si>
  <si>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</si>
  <si>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</si>
  <si>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</si>
  <si>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</si>
  <si>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</si>
  <si>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</si>
  <si>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</si>
  <si>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</si>
  <si>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</si>
  <si>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</si>
  <si>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</si>
  <si>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</si>
  <si>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</si>
  <si>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</si>
  <si>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</si>
  <si>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</si>
  <si>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</si>
  <si>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</si>
  <si>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</si>
  <si>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</si>
  <si>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</si>
  <si>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</si>
  <si>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</si>
  <si>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</si>
  <si>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</si>
  <si>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</si>
  <si>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</si>
  <si>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</si>
  <si>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</si>
  <si>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</si>
  <si>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</si>
  <si>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</si>
  <si>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</si>
  <si>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</si>
  <si>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</si>
  <si>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</si>
  <si>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</si>
  <si>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</si>
  <si>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</si>
  <si>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</si>
  <si>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</si>
  <si>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</si>
  <si>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</si>
  <si>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</si>
  <si>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</si>
  <si>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</si>
  <si>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</si>
  <si>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</si>
  <si>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</si>
  <si>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</si>
  <si>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</si>
  <si>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</si>
  <si>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</si>
  <si>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</si>
  <si>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</si>
  <si>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</si>
  <si>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</si>
  <si>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</si>
  <si>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</si>
  <si>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</si>
  <si>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</si>
  <si>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</si>
  <si>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</si>
  <si>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</si>
  <si>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</si>
  <si>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</si>
  <si>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</si>
  <si>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</si>
  <si>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</si>
  <si>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</si>
  <si>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</si>
  <si>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</si>
  <si>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</si>
  <si>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</si>
  <si>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</si>
  <si>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</si>
  <si>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</si>
  <si>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</si>
  <si>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</si>
  <si>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</si>
  <si>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</si>
  <si>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</si>
  <si>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</si>
  <si>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</si>
  <si>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First Place Financial Corp.(not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</si>
  <si>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</si>
  <si>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</si>
  <si>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</si>
  <si>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</si>
  <si>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</si>
  <si>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</si>
  <si>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</si>
  <si>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</si>
  <si>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</si>
  <si>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2a</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</si>
  <si>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</si>
  <si>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</si>
  <si>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</si>
  <si>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</si>
  <si>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</si>
  <si>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</si>
  <si>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</si>
  <si>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</si>
  <si>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</si>
  <si>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</si>
  <si>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</si>
  <si>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</si>
  <si>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</si>
  <si>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</si>
  <si>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1a, 42</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</si>
  <si>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</si>
  <si>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</si>
  <si>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</si>
  <si>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</si>
  <si>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</si>
  <si>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</si>
  <si>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</si>
  <si>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</si>
  <si>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15, 27</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</si>
  <si>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</si>
  <si>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</si>
  <si>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Cumulative Dividends, Interest and Distributions Report as of January 31, 2013</t>
  </si>
  <si>
    <t>Total January Payments:</t>
  </si>
  <si>
    <t>14d</t>
  </si>
  <si>
    <t xml:space="preserve">98/  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 </t>
  </si>
  <si>
    <t>Northwest Commercial Bank (not a portfolio institution)</t>
  </si>
  <si>
    <t>Outstanding CPP Investment Amount as ofJanuary 31, 2013</t>
  </si>
  <si>
    <t>AS OF JANUARY 31, 2013</t>
  </si>
  <si>
    <r>
      <t>Total CPP Dividends/Interest Paid as of January 31, 2013</t>
    </r>
    <r>
      <rPr>
        <b/>
        <vertAlign val="superscript"/>
        <sz val="11"/>
        <color theme="1"/>
        <rFont val="Calibri"/>
        <family val="2"/>
        <scheme val="minor"/>
      </rPr>
      <t xml:space="preserve"> 1 </t>
    </r>
  </si>
  <si>
    <t>Outstanding CPP Investment Amount as of January 31, 2013</t>
  </si>
  <si>
    <t>Outstanding CDCI Investment Amount as of January 31, 2013</t>
  </si>
  <si>
    <t>Total CDCI Dividends/Interest Paid as of January 31, 2013</t>
  </si>
  <si>
    <t>U.S. Department of the Treasury, Office of Financial Stability, published on 2/11/2013.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</si>
</sst>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55">
    <xf numFmtId="0" fontId="0" fillId="0" borderId="0" xfId="0"/>
    <xf numFmtId="0" fontId="0" fillId="0" borderId="0" xfId="0" applyFont="1" applyFill="1" applyBorder="1"/>
    <xf numFmtId="0" fontId="20" fillId="0" borderId="0" xfId="0"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7" fillId="0" borderId="0" xfId="0" applyFont="1" applyFill="1" applyBorder="1" applyAlignment="1">
      <alignment wrapText="1"/>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0" fillId="0" borderId="2" xfId="0" applyNumberFormat="1" applyFill="1" applyBorder="1" applyAlignment="1">
      <alignment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0" fillId="0" borderId="2"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0" xfId="0" applyFill="1" applyBorder="1" applyAlignment="1">
      <alignment vertical="center"/>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42" fontId="0" fillId="0" borderId="11" xfId="23" quotePrefix="1" applyNumberFormat="1" applyFont="1" applyFill="1" applyBorder="1" applyAlignment="1">
      <alignment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0" fontId="7" fillId="0" borderId="0" xfId="8" applyNumberFormat="1" applyFont="1" applyFill="1" applyBorder="1" applyAlignment="1">
      <alignment horizontal="left" wrapText="1"/>
    </xf>
    <xf numFmtId="0" fontId="0" fillId="0" borderId="2"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0" fillId="0" borderId="0" xfId="0" applyFill="1" applyBorder="1"/>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ill="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xf numFmtId="0" fontId="6" fillId="0" borderId="0" xfId="0" applyFont="1" applyFill="1" applyBorder="1" applyAlignment="1">
      <alignment horizontal="center"/>
    </xf>
    <xf numFmtId="0" fontId="7" fillId="0" borderId="0" xfId="0" applyNumberFormat="1" applyFont="1" applyFill="1" applyBorder="1" applyAlignment="1"/>
    <xf numFmtId="0" fontId="7" fillId="0" borderId="5" xfId="0" applyNumberFormat="1" applyFont="1" applyFill="1" applyBorder="1" applyAlignment="1"/>
    <xf numFmtId="0" fontId="12" fillId="0" borderId="8" xfId="0" applyFont="1" applyFill="1" applyBorder="1" applyAlignment="1">
      <alignment horizontal="center"/>
    </xf>
    <xf numFmtId="0" fontId="12" fillId="0" borderId="0" xfId="0" applyFont="1" applyFill="1" applyBorder="1" applyAlignment="1">
      <alignment horizontal="right"/>
    </xf>
    <xf numFmtId="42" fontId="0" fillId="0" borderId="0" xfId="23" applyNumberFormat="1" applyFont="1" applyFill="1" applyBorder="1" applyAlignment="1">
      <alignment horizontal="right" wrapText="1"/>
    </xf>
    <xf numFmtId="0" fontId="6" fillId="0" borderId="0" xfId="0" applyFont="1" applyFill="1" applyAlignment="1"/>
    <xf numFmtId="42" fontId="6" fillId="0" borderId="0" xfId="23" applyNumberFormat="1" applyFont="1" applyFill="1" applyBorder="1" applyAlignment="1">
      <alignment horizontal="right" wrapText="1"/>
    </xf>
    <xf numFmtId="42" fontId="0" fillId="0" borderId="0" xfId="23" applyNumberFormat="1" applyFont="1" applyFill="1" applyBorder="1" applyAlignment="1">
      <alignment wrapText="1"/>
    </xf>
    <xf numFmtId="164" fontId="12" fillId="0" borderId="7" xfId="0" applyNumberFormat="1" applyFont="1" applyFill="1" applyBorder="1" applyAlignment="1">
      <alignment horizontal="center"/>
    </xf>
    <xf numFmtId="0" fontId="0" fillId="0" borderId="2" xfId="0" applyNumberFormat="1" applyFont="1" applyFill="1" applyBorder="1" applyAlignment="1">
      <alignment vertical="center" wrapText="1"/>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left" vertical="center"/>
    </xf>
    <xf numFmtId="0" fontId="7" fillId="0" borderId="0" xfId="8" applyNumberFormat="1" applyFont="1" applyFill="1" applyBorder="1" applyAlignment="1">
      <alignment horizontal="left" wrapText="1"/>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0" fillId="0" borderId="2"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0" xfId="0"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7" fillId="0" borderId="0" xfId="8" applyFont="1" applyFill="1" applyBorder="1" applyAlignment="1">
      <alignment horizontal="left" wrapText="1"/>
    </xf>
    <xf numFmtId="0" fontId="0" fillId="0" borderId="0" xfId="0" applyFill="1" applyBorder="1" applyAlignment="1">
      <alignment horizontal="left"/>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xf numFmtId="0" fontId="53"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27"/>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activeCell="B6" sqref="B6"/>
    </sheetView>
  </sheetViews>
  <sheetFormatPr defaultRowHeight="15" x14ac:dyDescent="0.25"/>
  <cols>
    <col min="1" max="1" width="8.85546875" style="57" customWidth="1"/>
    <col min="2" max="2" width="74.140625" style="57" customWidth="1"/>
    <col min="3" max="3" width="53.7109375" style="57" customWidth="1"/>
    <col min="4" max="4" width="11.42578125" style="61" customWidth="1"/>
    <col min="5" max="5" width="38.85546875" style="62" customWidth="1"/>
    <col min="6" max="6" width="12.5703125" style="57" customWidth="1"/>
    <col min="7" max="7" width="18.7109375" style="62" customWidth="1"/>
    <col min="8" max="8" width="18.7109375" style="63" customWidth="1"/>
    <col min="9" max="9" width="24.7109375" style="64" customWidth="1"/>
    <col min="10" max="10" width="24.7109375" style="56" customWidth="1"/>
    <col min="11" max="11" width="21.7109375" style="57" customWidth="1"/>
    <col min="12" max="14" width="0" style="1" hidden="1" customWidth="1"/>
    <col min="15" max="16384" width="9.140625" style="1"/>
  </cols>
  <sheetData>
    <row r="1" spans="1:11" ht="20.100000000000001" customHeight="1" x14ac:dyDescent="0.25">
      <c r="A1" s="354" t="s">
        <v>1405</v>
      </c>
      <c r="B1" s="354"/>
      <c r="C1" s="354"/>
      <c r="D1" s="354"/>
      <c r="E1" s="354"/>
      <c r="F1" s="354"/>
      <c r="G1" s="354"/>
      <c r="H1" s="354"/>
      <c r="I1" s="354"/>
      <c r="J1" s="354"/>
      <c r="K1" s="354"/>
    </row>
    <row r="2" spans="1:11" ht="20.100000000000001" customHeight="1" x14ac:dyDescent="0.25">
      <c r="A2" s="304" t="s">
        <v>1394</v>
      </c>
      <c r="B2" s="305"/>
      <c r="C2" s="305"/>
      <c r="D2" s="305"/>
      <c r="E2" s="305"/>
      <c r="F2" s="305"/>
      <c r="G2" s="305"/>
      <c r="H2" s="305"/>
      <c r="I2" s="305"/>
      <c r="J2" s="305"/>
      <c r="K2" s="306"/>
    </row>
    <row r="3" spans="1:11" s="2" customFormat="1" ht="20.100000000000001" customHeight="1" x14ac:dyDescent="0.25">
      <c r="A3" s="290"/>
      <c r="B3" s="291" t="s">
        <v>1395</v>
      </c>
      <c r="C3" s="296">
        <f>SUM(I5:I920)</f>
        <v>52360383.419999994</v>
      </c>
      <c r="D3" s="269"/>
      <c r="E3" s="322" t="s">
        <v>907</v>
      </c>
      <c r="F3" s="322"/>
      <c r="G3" s="322"/>
      <c r="H3" s="321">
        <f>SUM(J5:J920)</f>
        <v>22629338811.266666</v>
      </c>
      <c r="I3" s="321"/>
      <c r="J3" s="270"/>
      <c r="K3" s="271"/>
    </row>
    <row r="4" spans="1:11" s="277" customFormat="1" ht="30" customHeight="1" x14ac:dyDescent="0.25">
      <c r="A4" s="3" t="s">
        <v>645</v>
      </c>
      <c r="B4" s="3" t="s">
        <v>646</v>
      </c>
      <c r="C4" s="3" t="s">
        <v>757</v>
      </c>
      <c r="D4" s="3" t="s">
        <v>754</v>
      </c>
      <c r="E4" s="4" t="s">
        <v>756</v>
      </c>
      <c r="F4" s="5" t="s">
        <v>755</v>
      </c>
      <c r="G4" s="5" t="s">
        <v>760</v>
      </c>
      <c r="H4" s="6" t="s">
        <v>753</v>
      </c>
      <c r="I4" s="7" t="s">
        <v>751</v>
      </c>
      <c r="J4" s="7" t="s">
        <v>761</v>
      </c>
      <c r="K4" s="4" t="s">
        <v>762</v>
      </c>
    </row>
    <row r="5" spans="1:11" s="277" customFormat="1" x14ac:dyDescent="0.25">
      <c r="A5" s="8" t="s">
        <v>102</v>
      </c>
      <c r="B5" s="9" t="s">
        <v>103</v>
      </c>
      <c r="C5" s="10" t="s">
        <v>4</v>
      </c>
      <c r="D5" s="11">
        <v>6</v>
      </c>
      <c r="E5" s="12" t="s">
        <v>758</v>
      </c>
      <c r="F5" s="12" t="s">
        <v>2</v>
      </c>
      <c r="G5" s="12" t="s">
        <v>461</v>
      </c>
      <c r="H5" s="12" t="s">
        <v>461</v>
      </c>
      <c r="I5" s="160">
        <v>0</v>
      </c>
      <c r="J5" s="15">
        <v>174806666.66</v>
      </c>
      <c r="K5" s="13" t="s">
        <v>461</v>
      </c>
    </row>
    <row r="6" spans="1:11" s="277" customFormat="1" x14ac:dyDescent="0.25">
      <c r="A6" s="8" t="s">
        <v>102</v>
      </c>
      <c r="B6" s="9" t="s">
        <v>103</v>
      </c>
      <c r="C6" s="16" t="s">
        <v>669</v>
      </c>
      <c r="D6" s="17" t="s">
        <v>727</v>
      </c>
      <c r="E6" s="12" t="s">
        <v>758</v>
      </c>
      <c r="F6" s="12" t="s">
        <v>2</v>
      </c>
      <c r="G6" s="12" t="s">
        <v>461</v>
      </c>
      <c r="H6" s="13" t="s">
        <v>461</v>
      </c>
      <c r="I6" s="160">
        <v>0</v>
      </c>
      <c r="J6" s="15">
        <v>268158097.22</v>
      </c>
      <c r="K6" s="13" t="s">
        <v>461</v>
      </c>
    </row>
    <row r="7" spans="1:11" s="277" customFormat="1" x14ac:dyDescent="0.25">
      <c r="A7" s="8" t="s">
        <v>102</v>
      </c>
      <c r="B7" s="9" t="s">
        <v>103</v>
      </c>
      <c r="C7" s="16" t="s">
        <v>662</v>
      </c>
      <c r="D7" s="17">
        <v>97</v>
      </c>
      <c r="E7" s="12" t="s">
        <v>758</v>
      </c>
      <c r="F7" s="12" t="s">
        <v>461</v>
      </c>
      <c r="G7" s="12" t="s">
        <v>461</v>
      </c>
      <c r="H7" s="13">
        <v>41304</v>
      </c>
      <c r="I7" s="160">
        <v>16000000</v>
      </c>
      <c r="J7" s="15">
        <v>198754093.03999999</v>
      </c>
      <c r="K7" s="13" t="s">
        <v>461</v>
      </c>
    </row>
    <row r="8" spans="1:11" x14ac:dyDescent="0.25">
      <c r="A8" s="12" t="s">
        <v>777</v>
      </c>
      <c r="B8" s="9" t="s">
        <v>783</v>
      </c>
      <c r="C8" s="18" t="s">
        <v>4</v>
      </c>
      <c r="D8" s="11">
        <v>5</v>
      </c>
      <c r="E8" s="12" t="s">
        <v>759</v>
      </c>
      <c r="F8" s="12" t="s">
        <v>2</v>
      </c>
      <c r="G8" s="12" t="s">
        <v>461</v>
      </c>
      <c r="H8" s="12" t="s">
        <v>461</v>
      </c>
      <c r="I8" s="160">
        <v>0</v>
      </c>
      <c r="J8" s="15">
        <v>0</v>
      </c>
      <c r="K8" s="13" t="s">
        <v>461</v>
      </c>
    </row>
    <row r="9" spans="1:11" x14ac:dyDescent="0.25">
      <c r="A9" s="12" t="s">
        <v>777</v>
      </c>
      <c r="B9" s="9" t="s">
        <v>783</v>
      </c>
      <c r="C9" s="19" t="s">
        <v>665</v>
      </c>
      <c r="D9" s="11">
        <v>5</v>
      </c>
      <c r="E9" s="279" t="s">
        <v>461</v>
      </c>
      <c r="F9" s="12" t="s">
        <v>461</v>
      </c>
      <c r="G9" s="12" t="s">
        <v>461</v>
      </c>
      <c r="H9" s="12" t="s">
        <v>461</v>
      </c>
      <c r="I9" s="160">
        <v>0</v>
      </c>
      <c r="J9" s="15">
        <v>0</v>
      </c>
      <c r="K9" s="13" t="s">
        <v>461</v>
      </c>
    </row>
    <row r="10" spans="1:11" x14ac:dyDescent="0.25">
      <c r="A10" s="12" t="s">
        <v>777</v>
      </c>
      <c r="B10" s="9" t="s">
        <v>783</v>
      </c>
      <c r="C10" s="19" t="s">
        <v>1065</v>
      </c>
      <c r="D10" s="11">
        <v>5</v>
      </c>
      <c r="E10" s="279" t="s">
        <v>661</v>
      </c>
      <c r="F10" s="12" t="s">
        <v>2</v>
      </c>
      <c r="G10" s="12" t="s">
        <v>461</v>
      </c>
      <c r="H10" s="12" t="s">
        <v>461</v>
      </c>
      <c r="I10" s="160">
        <v>0</v>
      </c>
      <c r="J10" s="15">
        <v>641275675.75</v>
      </c>
      <c r="K10" s="13" t="s">
        <v>461</v>
      </c>
    </row>
    <row r="11" spans="1:11" x14ac:dyDescent="0.25">
      <c r="A11" s="12" t="s">
        <v>777</v>
      </c>
      <c r="B11" s="9" t="s">
        <v>783</v>
      </c>
      <c r="C11" s="19" t="s">
        <v>1065</v>
      </c>
      <c r="D11" s="11">
        <v>5</v>
      </c>
      <c r="E11" s="279" t="s">
        <v>1244</v>
      </c>
      <c r="F11" s="12" t="s">
        <v>461</v>
      </c>
      <c r="G11" s="12" t="s">
        <v>461</v>
      </c>
      <c r="H11" s="12" t="s">
        <v>461</v>
      </c>
      <c r="I11" s="160">
        <v>0</v>
      </c>
      <c r="J11" s="15">
        <v>127105651.73</v>
      </c>
      <c r="K11" s="13" t="s">
        <v>461</v>
      </c>
    </row>
    <row r="12" spans="1:11" s="285" customFormat="1" x14ac:dyDescent="0.25">
      <c r="A12" s="20" t="s">
        <v>230</v>
      </c>
      <c r="B12" s="21" t="s">
        <v>644</v>
      </c>
      <c r="C12" s="22" t="s">
        <v>663</v>
      </c>
      <c r="D12" s="23" t="s">
        <v>749</v>
      </c>
      <c r="E12" s="155" t="s">
        <v>661</v>
      </c>
      <c r="F12" s="12" t="s">
        <v>2</v>
      </c>
      <c r="G12" s="12" t="s">
        <v>461</v>
      </c>
      <c r="H12" s="12" t="s">
        <v>461</v>
      </c>
      <c r="I12" s="160">
        <v>0</v>
      </c>
      <c r="J12" s="15">
        <v>3085490.9</v>
      </c>
      <c r="K12" s="24" t="s">
        <v>461</v>
      </c>
    </row>
    <row r="13" spans="1:11" s="285" customFormat="1" x14ac:dyDescent="0.25">
      <c r="A13" s="20" t="s">
        <v>230</v>
      </c>
      <c r="B13" s="21" t="s">
        <v>644</v>
      </c>
      <c r="C13" s="163" t="s">
        <v>1163</v>
      </c>
      <c r="D13" s="23" t="s">
        <v>763</v>
      </c>
      <c r="E13" s="155" t="s">
        <v>661</v>
      </c>
      <c r="F13" s="12" t="s">
        <v>2</v>
      </c>
      <c r="G13" s="12" t="s">
        <v>461</v>
      </c>
      <c r="H13" s="12" t="s">
        <v>461</v>
      </c>
      <c r="I13" s="160">
        <v>0</v>
      </c>
      <c r="J13" s="15">
        <v>0</v>
      </c>
      <c r="K13" s="25" t="s">
        <v>461</v>
      </c>
    </row>
    <row r="14" spans="1:11" s="285" customFormat="1" x14ac:dyDescent="0.25">
      <c r="A14" s="20" t="s">
        <v>230</v>
      </c>
      <c r="B14" s="21" t="s">
        <v>644</v>
      </c>
      <c r="C14" s="22" t="s">
        <v>540</v>
      </c>
      <c r="D14" s="26">
        <v>26</v>
      </c>
      <c r="E14" s="155" t="s">
        <v>661</v>
      </c>
      <c r="F14" s="12" t="s">
        <v>2</v>
      </c>
      <c r="G14" s="12" t="s">
        <v>461</v>
      </c>
      <c r="H14" s="12" t="s">
        <v>461</v>
      </c>
      <c r="I14" s="160">
        <v>0</v>
      </c>
      <c r="J14" s="15">
        <v>52152222.219999999</v>
      </c>
      <c r="K14" s="25" t="s">
        <v>461</v>
      </c>
    </row>
    <row r="15" spans="1:11" s="285" customFormat="1" x14ac:dyDescent="0.25">
      <c r="A15" s="20" t="s">
        <v>230</v>
      </c>
      <c r="B15" s="240" t="s">
        <v>535</v>
      </c>
      <c r="C15" s="27" t="s">
        <v>540</v>
      </c>
      <c r="D15" s="28">
        <v>32</v>
      </c>
      <c r="E15" s="155" t="s">
        <v>661</v>
      </c>
      <c r="F15" s="12" t="s">
        <v>2</v>
      </c>
      <c r="G15" s="12" t="s">
        <v>461</v>
      </c>
      <c r="H15" s="12" t="s">
        <v>461</v>
      </c>
      <c r="I15" s="160">
        <v>0</v>
      </c>
      <c r="J15" s="15">
        <v>7405894.46</v>
      </c>
      <c r="K15" s="29" t="s">
        <v>461</v>
      </c>
    </row>
    <row r="16" spans="1:11" s="277" customFormat="1" x14ac:dyDescent="0.25">
      <c r="A16" s="20" t="s">
        <v>230</v>
      </c>
      <c r="B16" s="9" t="s">
        <v>794</v>
      </c>
      <c r="C16" s="10" t="s">
        <v>666</v>
      </c>
      <c r="D16" s="11">
        <v>11</v>
      </c>
      <c r="E16" s="12" t="s">
        <v>461</v>
      </c>
      <c r="F16" s="12" t="s">
        <v>461</v>
      </c>
      <c r="G16" s="12" t="s">
        <v>461</v>
      </c>
      <c r="H16" s="12" t="s">
        <v>461</v>
      </c>
      <c r="I16" s="160">
        <v>0</v>
      </c>
      <c r="J16" s="15">
        <v>0</v>
      </c>
      <c r="K16" s="13" t="s">
        <v>461</v>
      </c>
    </row>
    <row r="17" spans="1:12" s="285" customFormat="1" x14ac:dyDescent="0.25">
      <c r="A17" s="152" t="s">
        <v>230</v>
      </c>
      <c r="B17" s="251" t="s">
        <v>799</v>
      </c>
      <c r="C17" s="252" t="s">
        <v>540</v>
      </c>
      <c r="D17" s="153">
        <v>28</v>
      </c>
      <c r="E17" s="155" t="s">
        <v>1134</v>
      </c>
      <c r="F17" s="12" t="s">
        <v>2</v>
      </c>
      <c r="G17" s="12" t="s">
        <v>461</v>
      </c>
      <c r="H17" s="12" t="s">
        <v>461</v>
      </c>
      <c r="I17" s="160">
        <v>0</v>
      </c>
      <c r="J17" s="15">
        <v>1116026229.03</v>
      </c>
      <c r="K17" s="258" t="s">
        <v>461</v>
      </c>
    </row>
    <row r="18" spans="1:12" s="285" customFormat="1" x14ac:dyDescent="0.25">
      <c r="A18" s="20" t="s">
        <v>230</v>
      </c>
      <c r="B18" s="31" t="s">
        <v>800</v>
      </c>
      <c r="C18" s="22" t="s">
        <v>540</v>
      </c>
      <c r="D18" s="26">
        <v>27</v>
      </c>
      <c r="E18" s="155" t="s">
        <v>661</v>
      </c>
      <c r="F18" s="12" t="s">
        <v>2</v>
      </c>
      <c r="G18" s="12" t="s">
        <v>461</v>
      </c>
      <c r="H18" s="12" t="s">
        <v>461</v>
      </c>
      <c r="I18" s="160">
        <v>0</v>
      </c>
      <c r="J18" s="15">
        <v>0</v>
      </c>
      <c r="K18" s="25" t="s">
        <v>461</v>
      </c>
    </row>
    <row r="19" spans="1:12" s="277" customFormat="1" x14ac:dyDescent="0.25">
      <c r="A19" s="20" t="s">
        <v>230</v>
      </c>
      <c r="B19" s="32" t="s">
        <v>801</v>
      </c>
      <c r="C19" s="10" t="s">
        <v>665</v>
      </c>
      <c r="D19" s="11">
        <v>9</v>
      </c>
      <c r="E19" s="12" t="s">
        <v>461</v>
      </c>
      <c r="F19" s="12" t="s">
        <v>461</v>
      </c>
      <c r="G19" s="12" t="s">
        <v>461</v>
      </c>
      <c r="H19" s="12" t="s">
        <v>461</v>
      </c>
      <c r="I19" s="160">
        <v>0</v>
      </c>
      <c r="J19" s="15">
        <v>0</v>
      </c>
      <c r="K19" s="13" t="s">
        <v>461</v>
      </c>
    </row>
    <row r="20" spans="1:12" s="277" customFormat="1" x14ac:dyDescent="0.25">
      <c r="A20" s="20" t="s">
        <v>230</v>
      </c>
      <c r="B20" s="32" t="s">
        <v>643</v>
      </c>
      <c r="C20" s="10" t="s">
        <v>83</v>
      </c>
      <c r="D20" s="17" t="s">
        <v>1051</v>
      </c>
      <c r="E20" s="12" t="s">
        <v>758</v>
      </c>
      <c r="F20" s="12" t="s">
        <v>2</v>
      </c>
      <c r="G20" s="12" t="s">
        <v>461</v>
      </c>
      <c r="H20" s="12" t="s">
        <v>461</v>
      </c>
      <c r="I20" s="160">
        <v>0</v>
      </c>
      <c r="J20" s="15">
        <v>270047669.21000004</v>
      </c>
      <c r="K20" s="13" t="s">
        <v>461</v>
      </c>
    </row>
    <row r="21" spans="1:12" s="33" customFormat="1" x14ac:dyDescent="0.25">
      <c r="A21" s="20" t="s">
        <v>230</v>
      </c>
      <c r="B21" s="253" t="s">
        <v>643</v>
      </c>
      <c r="C21" s="34" t="s">
        <v>663</v>
      </c>
      <c r="D21" s="153" t="s">
        <v>770</v>
      </c>
      <c r="E21" s="25" t="s">
        <v>661</v>
      </c>
      <c r="F21" s="12" t="s">
        <v>2</v>
      </c>
      <c r="G21" s="12" t="s">
        <v>461</v>
      </c>
      <c r="H21" s="12" t="s">
        <v>461</v>
      </c>
      <c r="I21" s="160">
        <v>0</v>
      </c>
      <c r="J21" s="15">
        <v>343140730.74000001</v>
      </c>
      <c r="K21" s="258" t="s">
        <v>461</v>
      </c>
    </row>
    <row r="22" spans="1:12" s="277" customFormat="1" ht="15" customHeight="1" x14ac:dyDescent="0.25">
      <c r="A22" s="20" t="s">
        <v>230</v>
      </c>
      <c r="B22" s="9" t="s">
        <v>1182</v>
      </c>
      <c r="C22" s="10" t="s">
        <v>665</v>
      </c>
      <c r="D22" s="11">
        <v>8</v>
      </c>
      <c r="E22" s="12" t="s">
        <v>461</v>
      </c>
      <c r="F22" s="12" t="s">
        <v>461</v>
      </c>
      <c r="G22" s="12" t="s">
        <v>461</v>
      </c>
      <c r="H22" s="12" t="s">
        <v>461</v>
      </c>
      <c r="I22" s="160">
        <v>0</v>
      </c>
      <c r="J22" s="15">
        <v>0</v>
      </c>
      <c r="K22" s="13" t="s">
        <v>461</v>
      </c>
    </row>
    <row r="23" spans="1:12" s="284" customFormat="1" ht="15" customHeight="1" x14ac:dyDescent="0.25">
      <c r="A23" s="20" t="s">
        <v>230</v>
      </c>
      <c r="B23" s="9" t="s">
        <v>1182</v>
      </c>
      <c r="C23" s="10" t="s">
        <v>729</v>
      </c>
      <c r="D23" s="23">
        <v>8</v>
      </c>
      <c r="E23" s="30" t="s">
        <v>758</v>
      </c>
      <c r="F23" s="207" t="s">
        <v>2</v>
      </c>
      <c r="G23" s="12" t="s">
        <v>461</v>
      </c>
      <c r="H23" s="13" t="s">
        <v>461</v>
      </c>
      <c r="I23" s="160">
        <v>0</v>
      </c>
      <c r="J23" s="15">
        <v>2886157986.1100001</v>
      </c>
      <c r="K23" s="25">
        <v>41320</v>
      </c>
    </row>
    <row r="24" spans="1:12" s="284" customFormat="1" x14ac:dyDescent="0.25">
      <c r="A24" s="152" t="s">
        <v>230</v>
      </c>
      <c r="B24" s="251" t="s">
        <v>1182</v>
      </c>
      <c r="C24" s="157" t="s">
        <v>662</v>
      </c>
      <c r="D24" s="153" t="s">
        <v>1099</v>
      </c>
      <c r="E24" s="30" t="s">
        <v>758</v>
      </c>
      <c r="F24" s="12" t="s">
        <v>2</v>
      </c>
      <c r="G24" s="12" t="s">
        <v>461</v>
      </c>
      <c r="H24" s="12" t="s">
        <v>461</v>
      </c>
      <c r="I24" s="160">
        <v>0</v>
      </c>
      <c r="J24" s="15">
        <v>251938895.83000001</v>
      </c>
      <c r="K24" s="258" t="s">
        <v>461</v>
      </c>
    </row>
    <row r="25" spans="1:12" s="285" customFormat="1" x14ac:dyDescent="0.25">
      <c r="A25" s="20" t="s">
        <v>230</v>
      </c>
      <c r="B25" s="31" t="s">
        <v>795</v>
      </c>
      <c r="C25" s="22" t="s">
        <v>540</v>
      </c>
      <c r="D25" s="23">
        <v>30</v>
      </c>
      <c r="E25" s="155" t="s">
        <v>661</v>
      </c>
      <c r="F25" s="12" t="s">
        <v>2</v>
      </c>
      <c r="G25" s="12" t="s">
        <v>461</v>
      </c>
      <c r="H25" s="12" t="s">
        <v>461</v>
      </c>
      <c r="I25" s="160">
        <v>0</v>
      </c>
      <c r="J25" s="15">
        <v>143526108</v>
      </c>
      <c r="K25" s="25" t="s">
        <v>461</v>
      </c>
    </row>
    <row r="26" spans="1:12" s="285" customFormat="1" x14ac:dyDescent="0.25">
      <c r="A26" s="20" t="s">
        <v>538</v>
      </c>
      <c r="B26" s="21" t="s">
        <v>537</v>
      </c>
      <c r="C26" s="22" t="s">
        <v>540</v>
      </c>
      <c r="D26" s="26">
        <v>32</v>
      </c>
      <c r="E26" s="25" t="s">
        <v>661</v>
      </c>
      <c r="F26" s="36" t="s">
        <v>536</v>
      </c>
      <c r="G26" s="12" t="s">
        <v>461</v>
      </c>
      <c r="H26" s="12" t="s">
        <v>461</v>
      </c>
      <c r="I26" s="160">
        <v>0</v>
      </c>
      <c r="J26" s="15">
        <v>5787175.6600000001</v>
      </c>
      <c r="K26" s="25" t="s">
        <v>461</v>
      </c>
    </row>
    <row r="27" spans="1:12" s="285" customFormat="1" x14ac:dyDescent="0.25">
      <c r="A27" s="20" t="s">
        <v>538</v>
      </c>
      <c r="B27" s="21" t="s">
        <v>543</v>
      </c>
      <c r="C27" s="22" t="s">
        <v>540</v>
      </c>
      <c r="D27" s="26">
        <v>32</v>
      </c>
      <c r="E27" s="25" t="s">
        <v>661</v>
      </c>
      <c r="F27" s="36" t="s">
        <v>536</v>
      </c>
      <c r="G27" s="12" t="s">
        <v>461</v>
      </c>
      <c r="H27" s="13" t="s">
        <v>461</v>
      </c>
      <c r="I27" s="160">
        <v>0</v>
      </c>
      <c r="J27" s="15">
        <v>9087808.209999999</v>
      </c>
      <c r="K27" s="25" t="s">
        <v>461</v>
      </c>
    </row>
    <row r="28" spans="1:12" s="285" customFormat="1" x14ac:dyDescent="0.25">
      <c r="A28" s="35" t="s">
        <v>541</v>
      </c>
      <c r="B28" s="239" t="s">
        <v>542</v>
      </c>
      <c r="C28" s="27" t="s">
        <v>540</v>
      </c>
      <c r="D28" s="28">
        <v>31</v>
      </c>
      <c r="E28" s="155" t="s">
        <v>661</v>
      </c>
      <c r="F28" s="36" t="s">
        <v>536</v>
      </c>
      <c r="G28" s="12" t="s">
        <v>461</v>
      </c>
      <c r="H28" s="12" t="s">
        <v>461</v>
      </c>
      <c r="I28" s="160">
        <v>0</v>
      </c>
      <c r="J28" s="15">
        <v>0</v>
      </c>
      <c r="K28" s="29">
        <v>43549</v>
      </c>
    </row>
    <row r="29" spans="1:12" x14ac:dyDescent="0.25">
      <c r="A29" s="8" t="s">
        <v>816</v>
      </c>
      <c r="B29" s="37" t="s">
        <v>960</v>
      </c>
      <c r="C29" s="38" t="s">
        <v>610</v>
      </c>
      <c r="D29" s="38"/>
      <c r="E29" s="8" t="s">
        <v>661</v>
      </c>
      <c r="F29" s="8" t="s">
        <v>2</v>
      </c>
      <c r="G29" s="12" t="s">
        <v>461</v>
      </c>
      <c r="H29" s="12" t="s">
        <v>461</v>
      </c>
      <c r="I29" s="160">
        <v>0</v>
      </c>
      <c r="J29" s="15">
        <v>95689.67</v>
      </c>
      <c r="K29" s="25">
        <v>41320</v>
      </c>
      <c r="L29" s="285"/>
    </row>
    <row r="30" spans="1:12" x14ac:dyDescent="0.25">
      <c r="A30" s="8" t="s">
        <v>816</v>
      </c>
      <c r="B30" s="37" t="s">
        <v>948</v>
      </c>
      <c r="C30" s="38" t="s">
        <v>610</v>
      </c>
      <c r="D30" s="38"/>
      <c r="E30" s="8" t="s">
        <v>661</v>
      </c>
      <c r="F30" s="8" t="s">
        <v>2</v>
      </c>
      <c r="G30" s="12" t="s">
        <v>461</v>
      </c>
      <c r="H30" s="12" t="s">
        <v>461</v>
      </c>
      <c r="I30" s="160">
        <v>0</v>
      </c>
      <c r="J30" s="15">
        <v>365588.68</v>
      </c>
      <c r="K30" s="25">
        <v>41320</v>
      </c>
      <c r="L30" s="285"/>
    </row>
    <row r="31" spans="1:12" x14ac:dyDescent="0.25">
      <c r="A31" s="8" t="s">
        <v>816</v>
      </c>
      <c r="B31" s="37" t="s">
        <v>954</v>
      </c>
      <c r="C31" s="38" t="s">
        <v>610</v>
      </c>
      <c r="D31" s="12" t="s">
        <v>1268</v>
      </c>
      <c r="E31" s="8" t="s">
        <v>661</v>
      </c>
      <c r="F31" s="8" t="s">
        <v>2</v>
      </c>
      <c r="G31" s="12" t="s">
        <v>461</v>
      </c>
      <c r="H31" s="13" t="s">
        <v>461</v>
      </c>
      <c r="I31" s="160">
        <v>0</v>
      </c>
      <c r="J31" s="15">
        <v>100277.77</v>
      </c>
      <c r="K31" s="25" t="s">
        <v>461</v>
      </c>
      <c r="L31" s="285"/>
    </row>
    <row r="32" spans="1:12" x14ac:dyDescent="0.25">
      <c r="A32" s="8" t="s">
        <v>816</v>
      </c>
      <c r="B32" s="37" t="s">
        <v>951</v>
      </c>
      <c r="C32" s="38" t="s">
        <v>83</v>
      </c>
      <c r="D32" s="38"/>
      <c r="E32" s="8" t="s">
        <v>758</v>
      </c>
      <c r="F32" s="8" t="s">
        <v>2</v>
      </c>
      <c r="G32" s="12" t="s">
        <v>461</v>
      </c>
      <c r="H32" s="12" t="s">
        <v>461</v>
      </c>
      <c r="I32" s="160">
        <v>0</v>
      </c>
      <c r="J32" s="15">
        <v>144434</v>
      </c>
      <c r="K32" s="25">
        <v>41320</v>
      </c>
      <c r="L32" s="285"/>
    </row>
    <row r="33" spans="1:12" x14ac:dyDescent="0.25">
      <c r="A33" s="8" t="s">
        <v>816</v>
      </c>
      <c r="B33" s="37" t="s">
        <v>977</v>
      </c>
      <c r="C33" s="38" t="s">
        <v>610</v>
      </c>
      <c r="D33" s="38"/>
      <c r="E33" s="8" t="s">
        <v>661</v>
      </c>
      <c r="F33" s="8" t="s">
        <v>2</v>
      </c>
      <c r="G33" s="12" t="s">
        <v>461</v>
      </c>
      <c r="H33" s="12" t="s">
        <v>461</v>
      </c>
      <c r="I33" s="160">
        <v>0</v>
      </c>
      <c r="J33" s="15">
        <v>217473.78</v>
      </c>
      <c r="K33" s="25">
        <v>41320</v>
      </c>
      <c r="L33" s="285"/>
    </row>
    <row r="34" spans="1:12" x14ac:dyDescent="0.25">
      <c r="A34" s="8" t="s">
        <v>816</v>
      </c>
      <c r="B34" s="39" t="s">
        <v>29</v>
      </c>
      <c r="C34" s="19" t="s">
        <v>83</v>
      </c>
      <c r="D34" s="11">
        <v>42</v>
      </c>
      <c r="E34" s="8" t="s">
        <v>758</v>
      </c>
      <c r="F34" s="8" t="s">
        <v>2</v>
      </c>
      <c r="G34" s="12" t="s">
        <v>461</v>
      </c>
      <c r="H34" s="12" t="s">
        <v>461</v>
      </c>
      <c r="I34" s="160">
        <v>0</v>
      </c>
      <c r="J34" s="15">
        <v>3443340.2199999997</v>
      </c>
      <c r="K34" s="25">
        <v>41320</v>
      </c>
      <c r="L34" s="285"/>
    </row>
    <row r="35" spans="1:12" x14ac:dyDescent="0.25">
      <c r="A35" s="8" t="s">
        <v>816</v>
      </c>
      <c r="B35" s="37" t="s">
        <v>975</v>
      </c>
      <c r="C35" s="38" t="s">
        <v>83</v>
      </c>
      <c r="D35" s="38"/>
      <c r="E35" s="8" t="s">
        <v>758</v>
      </c>
      <c r="F35" s="8" t="s">
        <v>2</v>
      </c>
      <c r="G35" s="12" t="s">
        <v>461</v>
      </c>
      <c r="H35" s="13" t="s">
        <v>461</v>
      </c>
      <c r="I35" s="160">
        <v>0</v>
      </c>
      <c r="J35" s="15">
        <v>223416.66999999998</v>
      </c>
      <c r="K35" s="25">
        <v>41320</v>
      </c>
      <c r="L35" s="285"/>
    </row>
    <row r="36" spans="1:12" s="40" customFormat="1" x14ac:dyDescent="0.25">
      <c r="A36" s="8" t="s">
        <v>816</v>
      </c>
      <c r="B36" s="37" t="s">
        <v>980</v>
      </c>
      <c r="C36" s="208" t="s">
        <v>610</v>
      </c>
      <c r="D36" s="38"/>
      <c r="E36" s="8" t="s">
        <v>661</v>
      </c>
      <c r="F36" s="8" t="s">
        <v>2</v>
      </c>
      <c r="G36" s="12" t="s">
        <v>461</v>
      </c>
      <c r="H36" s="12" t="s">
        <v>461</v>
      </c>
      <c r="I36" s="160">
        <v>0</v>
      </c>
      <c r="J36" s="15">
        <v>21362.89</v>
      </c>
      <c r="K36" s="25">
        <v>41320</v>
      </c>
      <c r="L36" s="285"/>
    </row>
    <row r="37" spans="1:12" x14ac:dyDescent="0.25">
      <c r="A37" s="8" t="s">
        <v>816</v>
      </c>
      <c r="B37" s="37" t="s">
        <v>985</v>
      </c>
      <c r="C37" s="38" t="s">
        <v>610</v>
      </c>
      <c r="D37" s="38"/>
      <c r="E37" s="8" t="s">
        <v>661</v>
      </c>
      <c r="F37" s="8" t="s">
        <v>2</v>
      </c>
      <c r="G37" s="12" t="s">
        <v>461</v>
      </c>
      <c r="H37" s="12" t="s">
        <v>461</v>
      </c>
      <c r="I37" s="160">
        <v>0</v>
      </c>
      <c r="J37" s="15">
        <v>138731.10999999999</v>
      </c>
      <c r="K37" s="25">
        <v>41320</v>
      </c>
      <c r="L37" s="285"/>
    </row>
    <row r="38" spans="1:12" x14ac:dyDescent="0.25">
      <c r="A38" s="8" t="s">
        <v>816</v>
      </c>
      <c r="B38" s="37" t="s">
        <v>970</v>
      </c>
      <c r="C38" s="38" t="s">
        <v>610</v>
      </c>
      <c r="D38" s="8" t="s">
        <v>1268</v>
      </c>
      <c r="E38" s="8" t="s">
        <v>661</v>
      </c>
      <c r="F38" s="8" t="s">
        <v>2</v>
      </c>
      <c r="G38" s="12" t="s">
        <v>461</v>
      </c>
      <c r="H38" s="12" t="s">
        <v>461</v>
      </c>
      <c r="I38" s="160">
        <v>0</v>
      </c>
      <c r="J38" s="15">
        <v>44388</v>
      </c>
      <c r="K38" s="25" t="s">
        <v>461</v>
      </c>
      <c r="L38" s="285"/>
    </row>
    <row r="39" spans="1:12" s="40" customFormat="1" x14ac:dyDescent="0.25">
      <c r="A39" s="8" t="s">
        <v>816</v>
      </c>
      <c r="B39" s="37" t="s">
        <v>1000</v>
      </c>
      <c r="C39" s="208" t="s">
        <v>610</v>
      </c>
      <c r="D39" s="38"/>
      <c r="E39" s="8" t="s">
        <v>661</v>
      </c>
      <c r="F39" s="8" t="s">
        <v>2</v>
      </c>
      <c r="G39" s="12" t="s">
        <v>461</v>
      </c>
      <c r="H39" s="13" t="s">
        <v>461</v>
      </c>
      <c r="I39" s="160">
        <v>0</v>
      </c>
      <c r="J39" s="15">
        <v>12750</v>
      </c>
      <c r="K39" s="25">
        <v>41320</v>
      </c>
      <c r="L39" s="285"/>
    </row>
    <row r="40" spans="1:12" s="40" customFormat="1" x14ac:dyDescent="0.25">
      <c r="A40" s="8" t="s">
        <v>816</v>
      </c>
      <c r="B40" s="37" t="s">
        <v>958</v>
      </c>
      <c r="C40" s="38" t="s">
        <v>610</v>
      </c>
      <c r="D40" s="38"/>
      <c r="E40" s="8" t="s">
        <v>661</v>
      </c>
      <c r="F40" s="8" t="s">
        <v>2</v>
      </c>
      <c r="G40" s="12" t="s">
        <v>461</v>
      </c>
      <c r="H40" s="12" t="s">
        <v>461</v>
      </c>
      <c r="I40" s="160">
        <v>0</v>
      </c>
      <c r="J40" s="15">
        <v>6210.83</v>
      </c>
      <c r="K40" s="25">
        <v>41320</v>
      </c>
      <c r="L40" s="285"/>
    </row>
    <row r="41" spans="1:12" x14ac:dyDescent="0.25">
      <c r="A41" s="8" t="s">
        <v>816</v>
      </c>
      <c r="B41" s="37" t="s">
        <v>963</v>
      </c>
      <c r="C41" s="38" t="s">
        <v>610</v>
      </c>
      <c r="D41" s="38"/>
      <c r="E41" s="8" t="s">
        <v>661</v>
      </c>
      <c r="F41" s="8" t="s">
        <v>2</v>
      </c>
      <c r="G41" s="12" t="s">
        <v>461</v>
      </c>
      <c r="H41" s="12" t="s">
        <v>461</v>
      </c>
      <c r="I41" s="160">
        <v>0</v>
      </c>
      <c r="J41" s="15">
        <v>42833.33</v>
      </c>
      <c r="K41" s="25">
        <v>41320</v>
      </c>
      <c r="L41" s="285"/>
    </row>
    <row r="42" spans="1:12" x14ac:dyDescent="0.25">
      <c r="A42" s="8" t="s">
        <v>816</v>
      </c>
      <c r="B42" s="37" t="s">
        <v>982</v>
      </c>
      <c r="C42" s="38" t="s">
        <v>610</v>
      </c>
      <c r="D42" s="38"/>
      <c r="E42" s="8" t="s">
        <v>661</v>
      </c>
      <c r="F42" s="8" t="s">
        <v>2</v>
      </c>
      <c r="G42" s="12" t="s">
        <v>461</v>
      </c>
      <c r="H42" s="12" t="s">
        <v>461</v>
      </c>
      <c r="I42" s="160">
        <v>0</v>
      </c>
      <c r="J42" s="15">
        <v>268100</v>
      </c>
      <c r="K42" s="25">
        <v>41320</v>
      </c>
      <c r="L42" s="285"/>
    </row>
    <row r="43" spans="1:12" x14ac:dyDescent="0.25">
      <c r="A43" s="8" t="s">
        <v>816</v>
      </c>
      <c r="B43" s="39" t="s">
        <v>80</v>
      </c>
      <c r="C43" s="18" t="s">
        <v>83</v>
      </c>
      <c r="D43" s="17" t="s">
        <v>1171</v>
      </c>
      <c r="E43" s="8" t="s">
        <v>758</v>
      </c>
      <c r="F43" s="12" t="s">
        <v>2</v>
      </c>
      <c r="G43" s="12" t="s">
        <v>461</v>
      </c>
      <c r="H43" s="12" t="s">
        <v>461</v>
      </c>
      <c r="I43" s="160">
        <v>0</v>
      </c>
      <c r="J43" s="15">
        <v>446507.38999999996</v>
      </c>
      <c r="K43" s="25" t="s">
        <v>461</v>
      </c>
      <c r="L43" s="285"/>
    </row>
    <row r="44" spans="1:12" x14ac:dyDescent="0.25">
      <c r="A44" s="8" t="s">
        <v>816</v>
      </c>
      <c r="B44" s="39" t="s">
        <v>80</v>
      </c>
      <c r="C44" s="19" t="s">
        <v>665</v>
      </c>
      <c r="D44" s="17">
        <v>71</v>
      </c>
      <c r="E44" s="12" t="s">
        <v>461</v>
      </c>
      <c r="F44" s="12" t="s">
        <v>461</v>
      </c>
      <c r="G44" s="12" t="s">
        <v>461</v>
      </c>
      <c r="H44" s="12" t="s">
        <v>461</v>
      </c>
      <c r="I44" s="160">
        <v>0</v>
      </c>
      <c r="J44" s="15">
        <v>0</v>
      </c>
      <c r="K44" s="25" t="s">
        <v>461</v>
      </c>
      <c r="L44" s="285"/>
    </row>
    <row r="45" spans="1:12" x14ac:dyDescent="0.25">
      <c r="A45" s="8" t="s">
        <v>816</v>
      </c>
      <c r="B45" s="37" t="s">
        <v>947</v>
      </c>
      <c r="C45" s="38" t="s">
        <v>83</v>
      </c>
      <c r="D45" s="38"/>
      <c r="E45" s="8" t="s">
        <v>758</v>
      </c>
      <c r="F45" s="8" t="s">
        <v>2</v>
      </c>
      <c r="G45" s="12" t="s">
        <v>461</v>
      </c>
      <c r="H45" s="12" t="s">
        <v>461</v>
      </c>
      <c r="I45" s="160">
        <v>0</v>
      </c>
      <c r="J45" s="15">
        <v>249867.66999999998</v>
      </c>
      <c r="K45" s="25">
        <v>41320</v>
      </c>
      <c r="L45" s="285"/>
    </row>
    <row r="46" spans="1:12" x14ac:dyDescent="0.25">
      <c r="A46" s="8" t="s">
        <v>816</v>
      </c>
      <c r="B46" s="39" t="s">
        <v>586</v>
      </c>
      <c r="C46" s="18" t="s">
        <v>106</v>
      </c>
      <c r="D46" s="11">
        <v>42</v>
      </c>
      <c r="E46" s="8" t="s">
        <v>758</v>
      </c>
      <c r="F46" s="8" t="s">
        <v>2</v>
      </c>
      <c r="G46" s="12" t="s">
        <v>461</v>
      </c>
      <c r="H46" s="12" t="s">
        <v>461</v>
      </c>
      <c r="I46" s="160">
        <v>0</v>
      </c>
      <c r="J46" s="15">
        <v>525889.22</v>
      </c>
      <c r="K46" s="25">
        <v>41320</v>
      </c>
      <c r="L46" s="285"/>
    </row>
    <row r="47" spans="1:12" x14ac:dyDescent="0.25">
      <c r="A47" s="8" t="s">
        <v>816</v>
      </c>
      <c r="B47" s="39" t="s">
        <v>681</v>
      </c>
      <c r="C47" s="19" t="s">
        <v>83</v>
      </c>
      <c r="D47" s="11">
        <v>42</v>
      </c>
      <c r="E47" s="8" t="s">
        <v>758</v>
      </c>
      <c r="F47" s="8" t="s">
        <v>2</v>
      </c>
      <c r="G47" s="12" t="s">
        <v>461</v>
      </c>
      <c r="H47" s="12" t="s">
        <v>461</v>
      </c>
      <c r="I47" s="160">
        <v>0</v>
      </c>
      <c r="J47" s="15">
        <v>2323533.33</v>
      </c>
      <c r="K47" s="25">
        <v>41320</v>
      </c>
      <c r="L47" s="285"/>
    </row>
    <row r="48" spans="1:12" x14ac:dyDescent="0.25">
      <c r="A48" s="8" t="s">
        <v>816</v>
      </c>
      <c r="B48" s="39" t="s">
        <v>129</v>
      </c>
      <c r="C48" s="18" t="s">
        <v>83</v>
      </c>
      <c r="D48" s="11">
        <v>42</v>
      </c>
      <c r="E48" s="8" t="s">
        <v>759</v>
      </c>
      <c r="F48" s="8" t="s">
        <v>2</v>
      </c>
      <c r="G48" s="12" t="s">
        <v>461</v>
      </c>
      <c r="H48" s="12" t="s">
        <v>461</v>
      </c>
      <c r="I48" s="160">
        <v>0</v>
      </c>
      <c r="J48" s="15">
        <v>152475.56</v>
      </c>
      <c r="K48" s="25">
        <v>41320</v>
      </c>
      <c r="L48" s="285"/>
    </row>
    <row r="49" spans="1:12" s="40" customFormat="1" x14ac:dyDescent="0.25">
      <c r="A49" s="8" t="s">
        <v>816</v>
      </c>
      <c r="B49" s="37" t="s">
        <v>968</v>
      </c>
      <c r="C49" s="38" t="s">
        <v>610</v>
      </c>
      <c r="D49" s="38"/>
      <c r="E49" s="8" t="s">
        <v>661</v>
      </c>
      <c r="F49" s="8" t="s">
        <v>2</v>
      </c>
      <c r="G49" s="12" t="s">
        <v>461</v>
      </c>
      <c r="H49" s="12" t="s">
        <v>461</v>
      </c>
      <c r="I49" s="160">
        <v>0</v>
      </c>
      <c r="J49" s="15">
        <v>113508.33</v>
      </c>
      <c r="K49" s="25">
        <v>41320</v>
      </c>
      <c r="L49" s="285"/>
    </row>
    <row r="50" spans="1:12" x14ac:dyDescent="0.25">
      <c r="A50" s="8" t="s">
        <v>816</v>
      </c>
      <c r="B50" s="37" t="s">
        <v>986</v>
      </c>
      <c r="C50" s="38" t="s">
        <v>610</v>
      </c>
      <c r="D50" s="38"/>
      <c r="E50" s="8" t="s">
        <v>661</v>
      </c>
      <c r="F50" s="8" t="s">
        <v>2</v>
      </c>
      <c r="G50" s="12" t="s">
        <v>461</v>
      </c>
      <c r="H50" s="12" t="s">
        <v>461</v>
      </c>
      <c r="I50" s="160">
        <v>0</v>
      </c>
      <c r="J50" s="15">
        <v>19150</v>
      </c>
      <c r="K50" s="25">
        <v>41320</v>
      </c>
      <c r="L50" s="285"/>
    </row>
    <row r="51" spans="1:12" x14ac:dyDescent="0.25">
      <c r="A51" s="8" t="s">
        <v>816</v>
      </c>
      <c r="B51" s="37" t="s">
        <v>969</v>
      </c>
      <c r="C51" s="38" t="s">
        <v>610</v>
      </c>
      <c r="D51" s="38"/>
      <c r="E51" s="8" t="s">
        <v>661</v>
      </c>
      <c r="F51" s="8" t="s">
        <v>2</v>
      </c>
      <c r="G51" s="12" t="s">
        <v>461</v>
      </c>
      <c r="H51" s="12" t="s">
        <v>461</v>
      </c>
      <c r="I51" s="160">
        <v>0</v>
      </c>
      <c r="J51" s="15">
        <v>119890.5</v>
      </c>
      <c r="K51" s="25">
        <v>41320</v>
      </c>
      <c r="L51" s="285"/>
    </row>
    <row r="52" spans="1:12" x14ac:dyDescent="0.25">
      <c r="A52" s="8" t="s">
        <v>816</v>
      </c>
      <c r="B52" s="37" t="s">
        <v>991</v>
      </c>
      <c r="C52" s="38" t="s">
        <v>610</v>
      </c>
      <c r="D52" s="38"/>
      <c r="E52" s="8" t="s">
        <v>661</v>
      </c>
      <c r="F52" s="8" t="s">
        <v>2</v>
      </c>
      <c r="G52" s="12" t="s">
        <v>461</v>
      </c>
      <c r="H52" s="12" t="s">
        <v>461</v>
      </c>
      <c r="I52" s="160">
        <v>0</v>
      </c>
      <c r="J52" s="15">
        <v>64769.56</v>
      </c>
      <c r="K52" s="25">
        <v>41320</v>
      </c>
      <c r="L52" s="285"/>
    </row>
    <row r="53" spans="1:12" x14ac:dyDescent="0.25">
      <c r="A53" s="8" t="s">
        <v>816</v>
      </c>
      <c r="B53" s="37" t="s">
        <v>984</v>
      </c>
      <c r="C53" s="38" t="s">
        <v>610</v>
      </c>
      <c r="D53" s="38"/>
      <c r="E53" s="8" t="s">
        <v>661</v>
      </c>
      <c r="F53" s="8" t="s">
        <v>2</v>
      </c>
      <c r="G53" s="12" t="s">
        <v>461</v>
      </c>
      <c r="H53" s="12" t="s">
        <v>461</v>
      </c>
      <c r="I53" s="160">
        <v>0</v>
      </c>
      <c r="J53" s="15">
        <v>297.89</v>
      </c>
      <c r="K53" s="25">
        <v>41320</v>
      </c>
      <c r="L53" s="285"/>
    </row>
    <row r="54" spans="1:12" x14ac:dyDescent="0.25">
      <c r="A54" s="8" t="s">
        <v>816</v>
      </c>
      <c r="B54" s="37" t="s">
        <v>996</v>
      </c>
      <c r="C54" s="38" t="s">
        <v>610</v>
      </c>
      <c r="D54" s="38"/>
      <c r="E54" s="8" t="s">
        <v>661</v>
      </c>
      <c r="F54" s="8" t="s">
        <v>2</v>
      </c>
      <c r="G54" s="12" t="s">
        <v>461</v>
      </c>
      <c r="H54" s="12" t="s">
        <v>461</v>
      </c>
      <c r="I54" s="160">
        <v>0</v>
      </c>
      <c r="J54" s="15">
        <v>4255.5599999999995</v>
      </c>
      <c r="K54" s="25">
        <v>41320</v>
      </c>
      <c r="L54" s="285"/>
    </row>
    <row r="55" spans="1:12" x14ac:dyDescent="0.25">
      <c r="A55" s="8" t="s">
        <v>816</v>
      </c>
      <c r="B55" s="37" t="s">
        <v>974</v>
      </c>
      <c r="C55" s="38" t="s">
        <v>610</v>
      </c>
      <c r="D55" s="38"/>
      <c r="E55" s="8" t="s">
        <v>661</v>
      </c>
      <c r="F55" s="8" t="s">
        <v>2</v>
      </c>
      <c r="G55" s="12" t="s">
        <v>461</v>
      </c>
      <c r="H55" s="12" t="s">
        <v>461</v>
      </c>
      <c r="I55" s="160">
        <v>0</v>
      </c>
      <c r="J55" s="15">
        <v>344551.33</v>
      </c>
      <c r="K55" s="25">
        <v>41320</v>
      </c>
      <c r="L55" s="285"/>
    </row>
    <row r="56" spans="1:12" x14ac:dyDescent="0.25">
      <c r="A56" s="8" t="s">
        <v>816</v>
      </c>
      <c r="B56" s="37" t="s">
        <v>993</v>
      </c>
      <c r="C56" s="38" t="s">
        <v>610</v>
      </c>
      <c r="D56" s="38"/>
      <c r="E56" s="8" t="s">
        <v>661</v>
      </c>
      <c r="F56" s="8" t="s">
        <v>2</v>
      </c>
      <c r="G56" s="12" t="s">
        <v>461</v>
      </c>
      <c r="H56" s="12" t="s">
        <v>461</v>
      </c>
      <c r="I56" s="160">
        <v>0</v>
      </c>
      <c r="J56" s="15">
        <v>1276.67</v>
      </c>
      <c r="K56" s="25">
        <v>41320</v>
      </c>
      <c r="L56" s="285"/>
    </row>
    <row r="57" spans="1:12" s="40" customFormat="1" x14ac:dyDescent="0.25">
      <c r="A57" s="8" t="s">
        <v>816</v>
      </c>
      <c r="B57" s="37" t="s">
        <v>979</v>
      </c>
      <c r="C57" s="38" t="s">
        <v>610</v>
      </c>
      <c r="D57" s="38"/>
      <c r="E57" s="8" t="s">
        <v>661</v>
      </c>
      <c r="F57" s="8" t="s">
        <v>2</v>
      </c>
      <c r="G57" s="12" t="s">
        <v>461</v>
      </c>
      <c r="H57" s="12" t="s">
        <v>461</v>
      </c>
      <c r="I57" s="160">
        <v>0</v>
      </c>
      <c r="J57" s="15">
        <v>595.78</v>
      </c>
      <c r="K57" s="25">
        <v>41320</v>
      </c>
      <c r="L57" s="285"/>
    </row>
    <row r="58" spans="1:12" s="40" customFormat="1" x14ac:dyDescent="0.25">
      <c r="A58" s="8" t="s">
        <v>816</v>
      </c>
      <c r="B58" s="41" t="s">
        <v>173</v>
      </c>
      <c r="C58" s="42" t="s">
        <v>83</v>
      </c>
      <c r="D58" s="43">
        <v>42</v>
      </c>
      <c r="E58" s="268" t="s">
        <v>758</v>
      </c>
      <c r="F58" s="268" t="s">
        <v>2</v>
      </c>
      <c r="G58" s="12" t="s">
        <v>461</v>
      </c>
      <c r="H58" s="12" t="s">
        <v>461</v>
      </c>
      <c r="I58" s="160">
        <v>0</v>
      </c>
      <c r="J58" s="15">
        <v>171888.89</v>
      </c>
      <c r="K58" s="25">
        <v>41320</v>
      </c>
      <c r="L58" s="285"/>
    </row>
    <row r="59" spans="1:12" s="40" customFormat="1" x14ac:dyDescent="0.25">
      <c r="A59" s="8" t="s">
        <v>816</v>
      </c>
      <c r="B59" s="39" t="s">
        <v>181</v>
      </c>
      <c r="C59" s="19" t="s">
        <v>83</v>
      </c>
      <c r="D59" s="11">
        <v>42</v>
      </c>
      <c r="E59" s="8" t="s">
        <v>759</v>
      </c>
      <c r="F59" s="8" t="s">
        <v>2</v>
      </c>
      <c r="G59" s="12" t="s">
        <v>461</v>
      </c>
      <c r="H59" s="12" t="s">
        <v>461</v>
      </c>
      <c r="I59" s="160">
        <v>0</v>
      </c>
      <c r="J59" s="15">
        <v>220420.33000000002</v>
      </c>
      <c r="K59" s="25">
        <v>41320</v>
      </c>
      <c r="L59" s="285"/>
    </row>
    <row r="60" spans="1:12" s="40" customFormat="1" x14ac:dyDescent="0.25">
      <c r="A60" s="8" t="s">
        <v>816</v>
      </c>
      <c r="B60" s="39" t="s">
        <v>684</v>
      </c>
      <c r="C60" s="209" t="s">
        <v>610</v>
      </c>
      <c r="D60" s="11">
        <v>42</v>
      </c>
      <c r="E60" s="8" t="s">
        <v>661</v>
      </c>
      <c r="F60" s="207" t="s">
        <v>2</v>
      </c>
      <c r="G60" s="12" t="s">
        <v>461</v>
      </c>
      <c r="H60" s="12" t="s">
        <v>461</v>
      </c>
      <c r="I60" s="160">
        <v>0</v>
      </c>
      <c r="J60" s="15">
        <v>527581.25</v>
      </c>
      <c r="K60" s="25">
        <v>41320</v>
      </c>
      <c r="L60" s="285"/>
    </row>
    <row r="61" spans="1:12" s="40" customFormat="1" x14ac:dyDescent="0.25">
      <c r="A61" s="8" t="s">
        <v>816</v>
      </c>
      <c r="B61" s="37" t="s">
        <v>988</v>
      </c>
      <c r="C61" s="38" t="s">
        <v>610</v>
      </c>
      <c r="D61" s="38"/>
      <c r="E61" s="8" t="s">
        <v>661</v>
      </c>
      <c r="F61" s="8" t="s">
        <v>2</v>
      </c>
      <c r="G61" s="12" t="s">
        <v>461</v>
      </c>
      <c r="H61" s="12" t="s">
        <v>461</v>
      </c>
      <c r="I61" s="160">
        <v>0</v>
      </c>
      <c r="J61" s="15">
        <v>42555.56</v>
      </c>
      <c r="K61" s="25">
        <v>41320</v>
      </c>
      <c r="L61" s="285"/>
    </row>
    <row r="62" spans="1:12" s="40" customFormat="1" x14ac:dyDescent="0.25">
      <c r="A62" s="8" t="s">
        <v>816</v>
      </c>
      <c r="B62" s="39" t="s">
        <v>196</v>
      </c>
      <c r="C62" s="19" t="s">
        <v>83</v>
      </c>
      <c r="D62" s="11">
        <v>42</v>
      </c>
      <c r="E62" s="8" t="s">
        <v>758</v>
      </c>
      <c r="F62" s="8" t="s">
        <v>2</v>
      </c>
      <c r="G62" s="12" t="s">
        <v>461</v>
      </c>
      <c r="H62" s="12" t="s">
        <v>461</v>
      </c>
      <c r="I62" s="160">
        <v>0</v>
      </c>
      <c r="J62" s="15">
        <v>1276666.67</v>
      </c>
      <c r="K62" s="25">
        <v>41320</v>
      </c>
      <c r="L62" s="285"/>
    </row>
    <row r="63" spans="1:12" s="40" customFormat="1" x14ac:dyDescent="0.25">
      <c r="A63" s="8" t="s">
        <v>816</v>
      </c>
      <c r="B63" s="39" t="s">
        <v>612</v>
      </c>
      <c r="C63" s="10" t="s">
        <v>83</v>
      </c>
      <c r="D63" s="11">
        <v>42</v>
      </c>
      <c r="E63" s="8" t="s">
        <v>758</v>
      </c>
      <c r="F63" s="8" t="s">
        <v>2</v>
      </c>
      <c r="G63" s="12" t="s">
        <v>461</v>
      </c>
      <c r="H63" s="12" t="s">
        <v>461</v>
      </c>
      <c r="I63" s="160">
        <v>0</v>
      </c>
      <c r="J63" s="15">
        <v>15959.44</v>
      </c>
      <c r="K63" s="25">
        <v>41320</v>
      </c>
      <c r="L63" s="285"/>
    </row>
    <row r="64" spans="1:12" s="40" customFormat="1" x14ac:dyDescent="0.25">
      <c r="A64" s="8" t="s">
        <v>816</v>
      </c>
      <c r="B64" s="37" t="s">
        <v>995</v>
      </c>
      <c r="C64" s="38" t="s">
        <v>610</v>
      </c>
      <c r="D64" s="38"/>
      <c r="E64" s="8" t="s">
        <v>661</v>
      </c>
      <c r="F64" s="8" t="s">
        <v>2</v>
      </c>
      <c r="G64" s="12" t="s">
        <v>461</v>
      </c>
      <c r="H64" s="12" t="s">
        <v>461</v>
      </c>
      <c r="I64" s="160">
        <v>0</v>
      </c>
      <c r="J64" s="15">
        <v>394830.44</v>
      </c>
      <c r="K64" s="25">
        <v>41320</v>
      </c>
      <c r="L64" s="285"/>
    </row>
    <row r="65" spans="1:12" s="40" customFormat="1" x14ac:dyDescent="0.25">
      <c r="A65" s="8" t="s">
        <v>816</v>
      </c>
      <c r="B65" s="37" t="s">
        <v>956</v>
      </c>
      <c r="C65" s="38" t="s">
        <v>610</v>
      </c>
      <c r="D65" s="8" t="s">
        <v>1268</v>
      </c>
      <c r="E65" s="8" t="s">
        <v>661</v>
      </c>
      <c r="F65" s="8" t="s">
        <v>2</v>
      </c>
      <c r="G65" s="12" t="s">
        <v>461</v>
      </c>
      <c r="H65" s="12" t="s">
        <v>461</v>
      </c>
      <c r="I65" s="160">
        <v>0</v>
      </c>
      <c r="J65" s="15">
        <v>68397.27</v>
      </c>
      <c r="K65" s="25" t="s">
        <v>461</v>
      </c>
      <c r="L65" s="285"/>
    </row>
    <row r="66" spans="1:12" s="40" customFormat="1" x14ac:dyDescent="0.25">
      <c r="A66" s="8" t="s">
        <v>816</v>
      </c>
      <c r="B66" s="37" t="s">
        <v>950</v>
      </c>
      <c r="C66" s="38" t="s">
        <v>610</v>
      </c>
      <c r="D66" s="38"/>
      <c r="E66" s="8" t="s">
        <v>661</v>
      </c>
      <c r="F66" s="8" t="s">
        <v>2</v>
      </c>
      <c r="G66" s="12" t="s">
        <v>461</v>
      </c>
      <c r="H66" s="12" t="s">
        <v>461</v>
      </c>
      <c r="I66" s="160">
        <v>0</v>
      </c>
      <c r="J66" s="15">
        <v>12966.67</v>
      </c>
      <c r="K66" s="25">
        <v>41320</v>
      </c>
      <c r="L66" s="285"/>
    </row>
    <row r="67" spans="1:12" s="40" customFormat="1" x14ac:dyDescent="0.25">
      <c r="A67" s="8" t="s">
        <v>816</v>
      </c>
      <c r="B67" s="37" t="s">
        <v>992</v>
      </c>
      <c r="C67" s="38" t="s">
        <v>610</v>
      </c>
      <c r="D67" s="12" t="s">
        <v>1268</v>
      </c>
      <c r="E67" s="8" t="s">
        <v>661</v>
      </c>
      <c r="F67" s="12" t="s">
        <v>2</v>
      </c>
      <c r="G67" s="12" t="s">
        <v>461</v>
      </c>
      <c r="H67" s="12" t="s">
        <v>461</v>
      </c>
      <c r="I67" s="160">
        <v>0</v>
      </c>
      <c r="J67" s="15">
        <v>10714.44</v>
      </c>
      <c r="K67" s="25" t="s">
        <v>461</v>
      </c>
      <c r="L67" s="285"/>
    </row>
    <row r="68" spans="1:12" s="40" customFormat="1" x14ac:dyDescent="0.25">
      <c r="A68" s="8" t="s">
        <v>816</v>
      </c>
      <c r="B68" s="39" t="s">
        <v>689</v>
      </c>
      <c r="C68" s="209" t="s">
        <v>610</v>
      </c>
      <c r="D68" s="11">
        <v>42</v>
      </c>
      <c r="E68" s="8" t="s">
        <v>661</v>
      </c>
      <c r="F68" s="8" t="s">
        <v>2</v>
      </c>
      <c r="G68" s="12" t="s">
        <v>461</v>
      </c>
      <c r="H68" s="12" t="s">
        <v>461</v>
      </c>
      <c r="I68" s="160">
        <v>0</v>
      </c>
      <c r="J68" s="15">
        <v>994583.33000000007</v>
      </c>
      <c r="K68" s="25">
        <v>41320</v>
      </c>
      <c r="L68" s="285"/>
    </row>
    <row r="69" spans="1:12" s="40" customFormat="1" x14ac:dyDescent="0.25">
      <c r="A69" s="8" t="s">
        <v>816</v>
      </c>
      <c r="B69" s="37" t="s">
        <v>994</v>
      </c>
      <c r="C69" s="38" t="s">
        <v>610</v>
      </c>
      <c r="D69" s="38"/>
      <c r="E69" s="8" t="s">
        <v>661</v>
      </c>
      <c r="F69" s="8" t="s">
        <v>2</v>
      </c>
      <c r="G69" s="12" t="s">
        <v>461</v>
      </c>
      <c r="H69" s="12" t="s">
        <v>461</v>
      </c>
      <c r="I69" s="160">
        <v>0</v>
      </c>
      <c r="J69" s="15">
        <v>4255.5599999999995</v>
      </c>
      <c r="K69" s="25">
        <v>41320</v>
      </c>
      <c r="L69" s="285"/>
    </row>
    <row r="70" spans="1:12" s="40" customFormat="1" x14ac:dyDescent="0.25">
      <c r="A70" s="8" t="s">
        <v>816</v>
      </c>
      <c r="B70" s="37" t="s">
        <v>949</v>
      </c>
      <c r="C70" s="38" t="s">
        <v>610</v>
      </c>
      <c r="D70" s="38"/>
      <c r="E70" s="8" t="s">
        <v>661</v>
      </c>
      <c r="F70" s="8" t="s">
        <v>2</v>
      </c>
      <c r="G70" s="12" t="s">
        <v>461</v>
      </c>
      <c r="H70" s="12" t="s">
        <v>461</v>
      </c>
      <c r="I70" s="160">
        <v>0</v>
      </c>
      <c r="J70" s="15">
        <v>195364.44</v>
      </c>
      <c r="K70" s="25">
        <v>41320</v>
      </c>
      <c r="L70" s="285"/>
    </row>
    <row r="71" spans="1:12" s="40" customFormat="1" x14ac:dyDescent="0.25">
      <c r="A71" s="8" t="s">
        <v>816</v>
      </c>
      <c r="B71" s="21" t="s">
        <v>599</v>
      </c>
      <c r="C71" s="44" t="s">
        <v>609</v>
      </c>
      <c r="D71" s="26">
        <v>42</v>
      </c>
      <c r="E71" s="8" t="s">
        <v>661</v>
      </c>
      <c r="F71" s="207" t="s">
        <v>2</v>
      </c>
      <c r="G71" s="12" t="s">
        <v>461</v>
      </c>
      <c r="H71" s="12" t="s">
        <v>461</v>
      </c>
      <c r="I71" s="160">
        <v>0</v>
      </c>
      <c r="J71" s="15">
        <v>546591.14</v>
      </c>
      <c r="K71" s="25">
        <v>41320</v>
      </c>
      <c r="L71" s="285"/>
    </row>
    <row r="72" spans="1:12" s="40" customFormat="1" x14ac:dyDescent="0.25">
      <c r="A72" s="8" t="s">
        <v>816</v>
      </c>
      <c r="B72" s="39" t="s">
        <v>264</v>
      </c>
      <c r="C72" s="18" t="s">
        <v>83</v>
      </c>
      <c r="D72" s="11">
        <v>42</v>
      </c>
      <c r="E72" s="8" t="s">
        <v>758</v>
      </c>
      <c r="F72" s="8" t="s">
        <v>2</v>
      </c>
      <c r="G72" s="12" t="s">
        <v>461</v>
      </c>
      <c r="H72" s="12" t="s">
        <v>461</v>
      </c>
      <c r="I72" s="160">
        <v>0</v>
      </c>
      <c r="J72" s="15">
        <v>264000</v>
      </c>
      <c r="K72" s="25">
        <v>41320</v>
      </c>
      <c r="L72" s="285"/>
    </row>
    <row r="73" spans="1:12" s="40" customFormat="1" x14ac:dyDescent="0.25">
      <c r="A73" s="8" t="s">
        <v>816</v>
      </c>
      <c r="B73" s="37" t="s">
        <v>999</v>
      </c>
      <c r="C73" s="38" t="s">
        <v>610</v>
      </c>
      <c r="D73" s="38"/>
      <c r="E73" s="8" t="s">
        <v>661</v>
      </c>
      <c r="F73" s="8" t="s">
        <v>2</v>
      </c>
      <c r="G73" s="12" t="s">
        <v>461</v>
      </c>
      <c r="H73" s="12" t="s">
        <v>461</v>
      </c>
      <c r="I73" s="160">
        <v>0</v>
      </c>
      <c r="J73" s="15">
        <v>29703.78</v>
      </c>
      <c r="K73" s="25">
        <v>41320</v>
      </c>
      <c r="L73" s="285"/>
    </row>
    <row r="74" spans="1:12" s="40" customFormat="1" x14ac:dyDescent="0.25">
      <c r="A74" s="8" t="s">
        <v>816</v>
      </c>
      <c r="B74" s="210" t="s">
        <v>946</v>
      </c>
      <c r="C74" s="19" t="s">
        <v>610</v>
      </c>
      <c r="D74" s="38"/>
      <c r="E74" s="8" t="s">
        <v>661</v>
      </c>
      <c r="F74" s="8" t="s">
        <v>2</v>
      </c>
      <c r="G74" s="12" t="s">
        <v>461</v>
      </c>
      <c r="H74" s="12" t="s">
        <v>461</v>
      </c>
      <c r="I74" s="160">
        <v>0</v>
      </c>
      <c r="J74" s="15">
        <v>215102.8</v>
      </c>
      <c r="K74" s="25">
        <v>41320</v>
      </c>
      <c r="L74" s="285"/>
    </row>
    <row r="75" spans="1:12" s="40" customFormat="1" x14ac:dyDescent="0.25">
      <c r="A75" s="8" t="s">
        <v>816</v>
      </c>
      <c r="B75" s="39" t="s">
        <v>279</v>
      </c>
      <c r="C75" s="19" t="s">
        <v>83</v>
      </c>
      <c r="D75" s="11">
        <v>42</v>
      </c>
      <c r="E75" s="8" t="s">
        <v>758</v>
      </c>
      <c r="F75" s="8" t="s">
        <v>2</v>
      </c>
      <c r="G75" s="12" t="s">
        <v>461</v>
      </c>
      <c r="H75" s="12" t="s">
        <v>461</v>
      </c>
      <c r="I75" s="160">
        <v>0</v>
      </c>
      <c r="J75" s="15">
        <v>193670.33000000002</v>
      </c>
      <c r="K75" s="25">
        <v>41320</v>
      </c>
      <c r="L75" s="285"/>
    </row>
    <row r="76" spans="1:12" s="40" customFormat="1" x14ac:dyDescent="0.25">
      <c r="A76" s="8" t="s">
        <v>816</v>
      </c>
      <c r="B76" s="37" t="s">
        <v>962</v>
      </c>
      <c r="C76" s="38" t="s">
        <v>610</v>
      </c>
      <c r="D76" s="38"/>
      <c r="E76" s="8" t="s">
        <v>661</v>
      </c>
      <c r="F76" s="8" t="s">
        <v>2</v>
      </c>
      <c r="G76" s="12" t="s">
        <v>461</v>
      </c>
      <c r="H76" s="12" t="s">
        <v>461</v>
      </c>
      <c r="I76" s="160">
        <v>0</v>
      </c>
      <c r="J76" s="15">
        <v>18632.5</v>
      </c>
      <c r="K76" s="25">
        <v>41320</v>
      </c>
      <c r="L76" s="285"/>
    </row>
    <row r="77" spans="1:12" s="40" customFormat="1" x14ac:dyDescent="0.25">
      <c r="A77" s="8" t="s">
        <v>816</v>
      </c>
      <c r="B77" s="39" t="s">
        <v>285</v>
      </c>
      <c r="C77" s="18" t="s">
        <v>106</v>
      </c>
      <c r="D77" s="11">
        <v>42</v>
      </c>
      <c r="E77" s="8" t="s">
        <v>758</v>
      </c>
      <c r="F77" s="8" t="s">
        <v>2</v>
      </c>
      <c r="G77" s="12" t="s">
        <v>461</v>
      </c>
      <c r="H77" s="12" t="s">
        <v>461</v>
      </c>
      <c r="I77" s="160">
        <v>0</v>
      </c>
      <c r="J77" s="15">
        <v>485473</v>
      </c>
      <c r="K77" s="25">
        <v>41320</v>
      </c>
      <c r="L77" s="285"/>
    </row>
    <row r="78" spans="1:12" s="40" customFormat="1" x14ac:dyDescent="0.25">
      <c r="A78" s="8" t="s">
        <v>816</v>
      </c>
      <c r="B78" s="37" t="s">
        <v>953</v>
      </c>
      <c r="C78" s="38" t="s">
        <v>610</v>
      </c>
      <c r="D78" s="38"/>
      <c r="E78" s="8" t="s">
        <v>661</v>
      </c>
      <c r="F78" s="8" t="s">
        <v>2</v>
      </c>
      <c r="G78" s="12" t="s">
        <v>461</v>
      </c>
      <c r="H78" s="12" t="s">
        <v>461</v>
      </c>
      <c r="I78" s="160">
        <v>0</v>
      </c>
      <c r="J78" s="15">
        <v>38464.33</v>
      </c>
      <c r="K78" s="25">
        <v>41320</v>
      </c>
      <c r="L78" s="285"/>
    </row>
    <row r="79" spans="1:12" s="40" customFormat="1" x14ac:dyDescent="0.25">
      <c r="A79" s="8" t="s">
        <v>816</v>
      </c>
      <c r="B79" s="39" t="s">
        <v>624</v>
      </c>
      <c r="C79" s="45" t="s">
        <v>106</v>
      </c>
      <c r="D79" s="11">
        <v>42</v>
      </c>
      <c r="E79" s="8" t="s">
        <v>758</v>
      </c>
      <c r="F79" s="8" t="s">
        <v>2</v>
      </c>
      <c r="G79" s="12" t="s">
        <v>461</v>
      </c>
      <c r="H79" s="12" t="s">
        <v>461</v>
      </c>
      <c r="I79" s="160">
        <v>0</v>
      </c>
      <c r="J79" s="15">
        <v>524815.28</v>
      </c>
      <c r="K79" s="25">
        <v>41320</v>
      </c>
      <c r="L79" s="285"/>
    </row>
    <row r="80" spans="1:12" s="40" customFormat="1" x14ac:dyDescent="0.25">
      <c r="A80" s="8" t="s">
        <v>816</v>
      </c>
      <c r="B80" s="39" t="s">
        <v>320</v>
      </c>
      <c r="C80" s="18" t="s">
        <v>106</v>
      </c>
      <c r="D80" s="11">
        <v>42</v>
      </c>
      <c r="E80" s="8" t="s">
        <v>758</v>
      </c>
      <c r="F80" s="8" t="s">
        <v>2</v>
      </c>
      <c r="G80" s="12" t="s">
        <v>461</v>
      </c>
      <c r="H80" s="12" t="s">
        <v>461</v>
      </c>
      <c r="I80" s="160">
        <v>0</v>
      </c>
      <c r="J80" s="15">
        <v>453114.22</v>
      </c>
      <c r="K80" s="25">
        <v>41320</v>
      </c>
      <c r="L80" s="285"/>
    </row>
    <row r="81" spans="1:12" s="40" customFormat="1" x14ac:dyDescent="0.25">
      <c r="A81" s="8" t="s">
        <v>816</v>
      </c>
      <c r="B81" s="37" t="s">
        <v>955</v>
      </c>
      <c r="C81" s="38" t="s">
        <v>610</v>
      </c>
      <c r="D81" s="8"/>
      <c r="E81" s="8" t="s">
        <v>661</v>
      </c>
      <c r="F81" s="8" t="s">
        <v>2</v>
      </c>
      <c r="G81" s="12" t="s">
        <v>461</v>
      </c>
      <c r="H81" s="12" t="s">
        <v>461</v>
      </c>
      <c r="I81" s="160">
        <v>0</v>
      </c>
      <c r="J81" s="15">
        <v>12121.83</v>
      </c>
      <c r="K81" s="25">
        <v>41320</v>
      </c>
      <c r="L81" s="285"/>
    </row>
    <row r="82" spans="1:12" s="40" customFormat="1" x14ac:dyDescent="0.25">
      <c r="A82" s="8" t="s">
        <v>816</v>
      </c>
      <c r="B82" s="37" t="s">
        <v>983</v>
      </c>
      <c r="C82" s="38" t="s">
        <v>610</v>
      </c>
      <c r="D82" s="38"/>
      <c r="E82" s="8" t="s">
        <v>661</v>
      </c>
      <c r="F82" s="8" t="s">
        <v>2</v>
      </c>
      <c r="G82" s="12" t="s">
        <v>461</v>
      </c>
      <c r="H82" s="12" t="s">
        <v>461</v>
      </c>
      <c r="I82" s="160">
        <v>0</v>
      </c>
      <c r="J82" s="15">
        <v>13830.56</v>
      </c>
      <c r="K82" s="25">
        <v>41320</v>
      </c>
      <c r="L82" s="285"/>
    </row>
    <row r="83" spans="1:12" s="40" customFormat="1" x14ac:dyDescent="0.25">
      <c r="A83" s="8" t="s">
        <v>816</v>
      </c>
      <c r="B83" s="37" t="s">
        <v>973</v>
      </c>
      <c r="C83" s="38" t="s">
        <v>610</v>
      </c>
      <c r="D83" s="38"/>
      <c r="E83" s="8" t="s">
        <v>661</v>
      </c>
      <c r="F83" s="8" t="s">
        <v>2</v>
      </c>
      <c r="G83" s="12" t="s">
        <v>461</v>
      </c>
      <c r="H83" s="12" t="s">
        <v>461</v>
      </c>
      <c r="I83" s="160">
        <v>0</v>
      </c>
      <c r="J83" s="15">
        <v>14991.67</v>
      </c>
      <c r="K83" s="25">
        <v>41320</v>
      </c>
      <c r="L83" s="285"/>
    </row>
    <row r="84" spans="1:12" s="40" customFormat="1" x14ac:dyDescent="0.25">
      <c r="A84" s="8" t="s">
        <v>816</v>
      </c>
      <c r="B84" s="37" t="s">
        <v>987</v>
      </c>
      <c r="C84" s="38" t="s">
        <v>610</v>
      </c>
      <c r="D84" s="38"/>
      <c r="E84" s="8" t="s">
        <v>661</v>
      </c>
      <c r="F84" s="8" t="s">
        <v>2</v>
      </c>
      <c r="G84" s="12" t="s">
        <v>461</v>
      </c>
      <c r="H84" s="12" t="s">
        <v>461</v>
      </c>
      <c r="I84" s="160">
        <v>0</v>
      </c>
      <c r="J84" s="15">
        <v>46428.11</v>
      </c>
      <c r="K84" s="25">
        <v>41320</v>
      </c>
      <c r="L84" s="285"/>
    </row>
    <row r="85" spans="1:12" s="40" customFormat="1" x14ac:dyDescent="0.25">
      <c r="A85" s="8" t="s">
        <v>816</v>
      </c>
      <c r="B85" s="39" t="s">
        <v>376</v>
      </c>
      <c r="C85" s="18" t="s">
        <v>106</v>
      </c>
      <c r="D85" s="11">
        <v>42</v>
      </c>
      <c r="E85" s="8" t="s">
        <v>758</v>
      </c>
      <c r="F85" s="8" t="s">
        <v>2</v>
      </c>
      <c r="G85" s="12" t="s">
        <v>461</v>
      </c>
      <c r="H85" s="12" t="s">
        <v>461</v>
      </c>
      <c r="I85" s="160">
        <v>0</v>
      </c>
      <c r="J85" s="15">
        <v>30333.33</v>
      </c>
      <c r="K85" s="25">
        <v>41320</v>
      </c>
      <c r="L85" s="285"/>
    </row>
    <row r="86" spans="1:12" s="40" customFormat="1" x14ac:dyDescent="0.25">
      <c r="A86" s="8" t="s">
        <v>816</v>
      </c>
      <c r="B86" s="37" t="s">
        <v>965</v>
      </c>
      <c r="C86" s="38" t="s">
        <v>610</v>
      </c>
      <c r="D86" s="38"/>
      <c r="E86" s="8" t="s">
        <v>661</v>
      </c>
      <c r="F86" s="8" t="s">
        <v>2</v>
      </c>
      <c r="G86" s="12" t="s">
        <v>461</v>
      </c>
      <c r="H86" s="12" t="s">
        <v>461</v>
      </c>
      <c r="I86" s="160">
        <v>0</v>
      </c>
      <c r="J86" s="15">
        <v>6553.5</v>
      </c>
      <c r="K86" s="25">
        <v>41320</v>
      </c>
      <c r="L86" s="285"/>
    </row>
    <row r="87" spans="1:12" s="40" customFormat="1" x14ac:dyDescent="0.25">
      <c r="A87" s="8" t="s">
        <v>816</v>
      </c>
      <c r="B87" s="21" t="s">
        <v>603</v>
      </c>
      <c r="C87" s="44" t="s">
        <v>610</v>
      </c>
      <c r="D87" s="23" t="s">
        <v>1248</v>
      </c>
      <c r="E87" s="8" t="s">
        <v>661</v>
      </c>
      <c r="F87" s="12" t="s">
        <v>2</v>
      </c>
      <c r="G87" s="12" t="s">
        <v>461</v>
      </c>
      <c r="H87" s="12" t="s">
        <v>461</v>
      </c>
      <c r="I87" s="160">
        <v>0</v>
      </c>
      <c r="J87" s="15">
        <v>0</v>
      </c>
      <c r="K87" s="25" t="s">
        <v>461</v>
      </c>
      <c r="L87" s="285"/>
    </row>
    <row r="88" spans="1:12" s="40" customFormat="1" x14ac:dyDescent="0.25">
      <c r="A88" s="8" t="s">
        <v>816</v>
      </c>
      <c r="B88" s="37" t="s">
        <v>967</v>
      </c>
      <c r="C88" s="38" t="s">
        <v>610</v>
      </c>
      <c r="D88" s="38"/>
      <c r="E88" s="8" t="s">
        <v>661</v>
      </c>
      <c r="F88" s="8" t="s">
        <v>2</v>
      </c>
      <c r="G88" s="12" t="s">
        <v>461</v>
      </c>
      <c r="H88" s="12" t="s">
        <v>461</v>
      </c>
      <c r="I88" s="160">
        <v>0</v>
      </c>
      <c r="J88" s="15">
        <v>11693.5</v>
      </c>
      <c r="K88" s="25">
        <v>41320</v>
      </c>
      <c r="L88" s="285"/>
    </row>
    <row r="89" spans="1:12" s="40" customFormat="1" x14ac:dyDescent="0.25">
      <c r="A89" s="8" t="s">
        <v>816</v>
      </c>
      <c r="B89" s="39" t="s">
        <v>392</v>
      </c>
      <c r="C89" s="19" t="s">
        <v>83</v>
      </c>
      <c r="D89" s="11" t="s">
        <v>1382</v>
      </c>
      <c r="E89" s="8" t="s">
        <v>758</v>
      </c>
      <c r="F89" s="8" t="s">
        <v>2</v>
      </c>
      <c r="G89" s="12" t="s">
        <v>461</v>
      </c>
      <c r="H89" s="12" t="s">
        <v>461</v>
      </c>
      <c r="I89" s="160">
        <v>0</v>
      </c>
      <c r="J89" s="15">
        <v>437489.22000000003</v>
      </c>
      <c r="K89" s="25" t="s">
        <v>461</v>
      </c>
      <c r="L89" s="285"/>
    </row>
    <row r="90" spans="1:12" s="40" customFormat="1" x14ac:dyDescent="0.25">
      <c r="A90" s="8" t="s">
        <v>816</v>
      </c>
      <c r="B90" s="37" t="s">
        <v>966</v>
      </c>
      <c r="C90" s="38" t="s">
        <v>610</v>
      </c>
      <c r="D90" s="38"/>
      <c r="E90" s="8" t="s">
        <v>661</v>
      </c>
      <c r="F90" s="8" t="s">
        <v>2</v>
      </c>
      <c r="G90" s="12" t="s">
        <v>461</v>
      </c>
      <c r="H90" s="12" t="s">
        <v>461</v>
      </c>
      <c r="I90" s="160">
        <v>0</v>
      </c>
      <c r="J90" s="15">
        <v>107083.33</v>
      </c>
      <c r="K90" s="25">
        <v>41320</v>
      </c>
      <c r="L90" s="285"/>
    </row>
    <row r="91" spans="1:12" s="40" customFormat="1" x14ac:dyDescent="0.25">
      <c r="A91" s="8" t="s">
        <v>816</v>
      </c>
      <c r="B91" s="37" t="s">
        <v>998</v>
      </c>
      <c r="C91" s="38" t="s">
        <v>610</v>
      </c>
      <c r="D91" s="38"/>
      <c r="E91" s="8" t="s">
        <v>661</v>
      </c>
      <c r="F91" s="8" t="s">
        <v>2</v>
      </c>
      <c r="G91" s="12" t="s">
        <v>461</v>
      </c>
      <c r="H91" s="12" t="s">
        <v>461</v>
      </c>
      <c r="I91" s="160">
        <v>0</v>
      </c>
      <c r="J91" s="15">
        <v>1319.22</v>
      </c>
      <c r="K91" s="25">
        <v>41320</v>
      </c>
      <c r="L91" s="285"/>
    </row>
    <row r="92" spans="1:12" s="40" customFormat="1" x14ac:dyDescent="0.25">
      <c r="A92" s="8" t="s">
        <v>816</v>
      </c>
      <c r="B92" s="37" t="s">
        <v>972</v>
      </c>
      <c r="C92" s="38" t="s">
        <v>610</v>
      </c>
      <c r="D92" s="38"/>
      <c r="E92" s="8" t="s">
        <v>661</v>
      </c>
      <c r="F92" s="8" t="s">
        <v>2</v>
      </c>
      <c r="G92" s="12" t="s">
        <v>461</v>
      </c>
      <c r="H92" s="12" t="s">
        <v>461</v>
      </c>
      <c r="I92" s="160">
        <v>0</v>
      </c>
      <c r="J92" s="15">
        <v>121132.67</v>
      </c>
      <c r="K92" s="25">
        <v>41320</v>
      </c>
      <c r="L92" s="285"/>
    </row>
    <row r="93" spans="1:12" s="40" customFormat="1" x14ac:dyDescent="0.25">
      <c r="A93" s="8" t="s">
        <v>816</v>
      </c>
      <c r="B93" s="39" t="s">
        <v>620</v>
      </c>
      <c r="C93" s="10" t="s">
        <v>83</v>
      </c>
      <c r="D93" s="11">
        <v>42</v>
      </c>
      <c r="E93" s="8" t="s">
        <v>758</v>
      </c>
      <c r="F93" s="8" t="s">
        <v>2</v>
      </c>
      <c r="G93" s="12" t="s">
        <v>461</v>
      </c>
      <c r="H93" s="12" t="s">
        <v>461</v>
      </c>
      <c r="I93" s="160">
        <v>0</v>
      </c>
      <c r="J93" s="15">
        <v>762170</v>
      </c>
      <c r="K93" s="25">
        <v>41320</v>
      </c>
      <c r="L93" s="285"/>
    </row>
    <row r="94" spans="1:12" s="40" customFormat="1" x14ac:dyDescent="0.25">
      <c r="A94" s="8" t="s">
        <v>816</v>
      </c>
      <c r="B94" s="39" t="s">
        <v>812</v>
      </c>
      <c r="C94" s="18" t="s">
        <v>4</v>
      </c>
      <c r="D94" s="11">
        <v>42</v>
      </c>
      <c r="E94" s="8" t="s">
        <v>758</v>
      </c>
      <c r="F94" s="8" t="s">
        <v>2</v>
      </c>
      <c r="G94" s="12" t="s">
        <v>461</v>
      </c>
      <c r="H94" s="12" t="s">
        <v>461</v>
      </c>
      <c r="I94" s="160">
        <v>0</v>
      </c>
      <c r="J94" s="15">
        <v>936222.22</v>
      </c>
      <c r="K94" s="25">
        <v>41320</v>
      </c>
      <c r="L94" s="285"/>
    </row>
    <row r="95" spans="1:12" s="40" customFormat="1" x14ac:dyDescent="0.25">
      <c r="A95" s="8" t="s">
        <v>816</v>
      </c>
      <c r="B95" s="37" t="s">
        <v>981</v>
      </c>
      <c r="C95" s="38" t="s">
        <v>610</v>
      </c>
      <c r="D95" s="38"/>
      <c r="E95" s="8" t="s">
        <v>661</v>
      </c>
      <c r="F95" s="8" t="s">
        <v>2</v>
      </c>
      <c r="G95" s="12" t="s">
        <v>461</v>
      </c>
      <c r="H95" s="12" t="s">
        <v>461</v>
      </c>
      <c r="I95" s="160">
        <v>0</v>
      </c>
      <c r="J95" s="15">
        <v>112602</v>
      </c>
      <c r="K95" s="25">
        <v>41320</v>
      </c>
      <c r="L95" s="285"/>
    </row>
    <row r="96" spans="1:12" s="40" customFormat="1" x14ac:dyDescent="0.25">
      <c r="A96" s="8" t="s">
        <v>816</v>
      </c>
      <c r="B96" s="39" t="s">
        <v>426</v>
      </c>
      <c r="C96" s="18" t="s">
        <v>83</v>
      </c>
      <c r="D96" s="11">
        <v>42</v>
      </c>
      <c r="E96" s="8" t="s">
        <v>759</v>
      </c>
      <c r="F96" s="8" t="s">
        <v>2</v>
      </c>
      <c r="G96" s="12" t="s">
        <v>461</v>
      </c>
      <c r="H96" s="12" t="s">
        <v>461</v>
      </c>
      <c r="I96" s="160">
        <v>0</v>
      </c>
      <c r="J96" s="15">
        <v>1537900</v>
      </c>
      <c r="K96" s="25">
        <v>41320</v>
      </c>
      <c r="L96" s="285"/>
    </row>
    <row r="97" spans="1:12" s="40" customFormat="1" x14ac:dyDescent="0.25">
      <c r="A97" s="8" t="s">
        <v>816</v>
      </c>
      <c r="B97" s="37" t="s">
        <v>978</v>
      </c>
      <c r="C97" s="38" t="s">
        <v>610</v>
      </c>
      <c r="D97" s="38"/>
      <c r="E97" s="8" t="s">
        <v>661</v>
      </c>
      <c r="F97" s="8" t="s">
        <v>2</v>
      </c>
      <c r="G97" s="12" t="s">
        <v>461</v>
      </c>
      <c r="H97" s="12" t="s">
        <v>461</v>
      </c>
      <c r="I97" s="160">
        <v>0</v>
      </c>
      <c r="J97" s="15">
        <v>72726.64</v>
      </c>
      <c r="K97" s="25">
        <v>41320</v>
      </c>
      <c r="L97" s="285"/>
    </row>
    <row r="98" spans="1:12" s="40" customFormat="1" x14ac:dyDescent="0.25">
      <c r="A98" s="8" t="s">
        <v>816</v>
      </c>
      <c r="B98" s="37" t="s">
        <v>990</v>
      </c>
      <c r="C98" s="38" t="s">
        <v>610</v>
      </c>
      <c r="D98" s="38"/>
      <c r="E98" s="8" t="s">
        <v>661</v>
      </c>
      <c r="F98" s="8" t="s">
        <v>2</v>
      </c>
      <c r="G98" s="12" t="s">
        <v>461</v>
      </c>
      <c r="H98" s="12" t="s">
        <v>461</v>
      </c>
      <c r="I98" s="160">
        <v>0</v>
      </c>
      <c r="J98" s="15">
        <v>46811.11</v>
      </c>
      <c r="K98" s="25">
        <v>41320</v>
      </c>
      <c r="L98" s="285"/>
    </row>
    <row r="99" spans="1:12" s="40" customFormat="1" x14ac:dyDescent="0.25">
      <c r="A99" s="8" t="s">
        <v>816</v>
      </c>
      <c r="B99" s="39" t="s">
        <v>438</v>
      </c>
      <c r="C99" s="19" t="s">
        <v>83</v>
      </c>
      <c r="D99" s="11">
        <v>42</v>
      </c>
      <c r="E99" s="8" t="s">
        <v>758</v>
      </c>
      <c r="F99" s="8" t="s">
        <v>2</v>
      </c>
      <c r="G99" s="12" t="s">
        <v>461</v>
      </c>
      <c r="H99" s="12" t="s">
        <v>461</v>
      </c>
      <c r="I99" s="160">
        <v>0</v>
      </c>
      <c r="J99" s="15">
        <v>670250</v>
      </c>
      <c r="K99" s="25">
        <v>41320</v>
      </c>
      <c r="L99" s="285"/>
    </row>
    <row r="100" spans="1:12" s="40" customFormat="1" x14ac:dyDescent="0.25">
      <c r="A100" s="8" t="s">
        <v>816</v>
      </c>
      <c r="B100" s="39" t="s">
        <v>471</v>
      </c>
      <c r="C100" s="19" t="s">
        <v>83</v>
      </c>
      <c r="D100" s="11">
        <v>42</v>
      </c>
      <c r="E100" s="8" t="s">
        <v>758</v>
      </c>
      <c r="F100" s="8" t="s">
        <v>2</v>
      </c>
      <c r="G100" s="12" t="s">
        <v>461</v>
      </c>
      <c r="H100" s="12" t="s">
        <v>461</v>
      </c>
      <c r="I100" s="160">
        <v>0</v>
      </c>
      <c r="J100" s="15">
        <v>728678.78</v>
      </c>
      <c r="K100" s="25">
        <v>41320</v>
      </c>
      <c r="L100" s="285"/>
    </row>
    <row r="101" spans="1:12" s="40" customFormat="1" x14ac:dyDescent="0.25">
      <c r="A101" s="8" t="s">
        <v>816</v>
      </c>
      <c r="B101" s="37" t="s">
        <v>976</v>
      </c>
      <c r="C101" s="38" t="s">
        <v>610</v>
      </c>
      <c r="D101" s="38"/>
      <c r="E101" s="8" t="s">
        <v>661</v>
      </c>
      <c r="F101" s="8" t="s">
        <v>2</v>
      </c>
      <c r="G101" s="12" t="s">
        <v>461</v>
      </c>
      <c r="H101" s="12" t="s">
        <v>461</v>
      </c>
      <c r="I101" s="160">
        <v>0</v>
      </c>
      <c r="J101" s="15">
        <v>522543.92</v>
      </c>
      <c r="K101" s="25">
        <v>41320</v>
      </c>
      <c r="L101" s="285"/>
    </row>
    <row r="102" spans="1:12" s="40" customFormat="1" x14ac:dyDescent="0.25">
      <c r="A102" s="8" t="s">
        <v>816</v>
      </c>
      <c r="B102" s="37" t="s">
        <v>964</v>
      </c>
      <c r="C102" s="38" t="s">
        <v>610</v>
      </c>
      <c r="D102" s="38"/>
      <c r="E102" s="8" t="s">
        <v>661</v>
      </c>
      <c r="F102" s="8" t="s">
        <v>2</v>
      </c>
      <c r="G102" s="12" t="s">
        <v>461</v>
      </c>
      <c r="H102" s="12" t="s">
        <v>461</v>
      </c>
      <c r="I102" s="160">
        <v>0</v>
      </c>
      <c r="J102" s="15">
        <v>3212.5</v>
      </c>
      <c r="K102" s="25">
        <v>41320</v>
      </c>
      <c r="L102" s="285"/>
    </row>
    <row r="103" spans="1:12" s="40" customFormat="1" x14ac:dyDescent="0.25">
      <c r="A103" s="8" t="s">
        <v>816</v>
      </c>
      <c r="B103" s="37" t="s">
        <v>971</v>
      </c>
      <c r="C103" s="38" t="s">
        <v>610</v>
      </c>
      <c r="D103" s="38"/>
      <c r="E103" s="8" t="s">
        <v>661</v>
      </c>
      <c r="F103" s="8" t="s">
        <v>2</v>
      </c>
      <c r="G103" s="12" t="s">
        <v>461</v>
      </c>
      <c r="H103" s="12" t="s">
        <v>461</v>
      </c>
      <c r="I103" s="160">
        <v>0</v>
      </c>
      <c r="J103" s="15">
        <v>68533.33</v>
      </c>
      <c r="K103" s="25">
        <v>41320</v>
      </c>
      <c r="L103" s="285"/>
    </row>
    <row r="104" spans="1:12" s="40" customFormat="1" x14ac:dyDescent="0.25">
      <c r="A104" s="8" t="s">
        <v>816</v>
      </c>
      <c r="B104" s="39" t="s">
        <v>490</v>
      </c>
      <c r="C104" s="18" t="s">
        <v>83</v>
      </c>
      <c r="D104" s="11">
        <v>42</v>
      </c>
      <c r="E104" s="8" t="s">
        <v>759</v>
      </c>
      <c r="F104" s="8" t="s">
        <v>2</v>
      </c>
      <c r="G104" s="12" t="s">
        <v>461</v>
      </c>
      <c r="H104" s="12" t="s">
        <v>461</v>
      </c>
      <c r="I104" s="160">
        <v>0</v>
      </c>
      <c r="J104" s="15">
        <v>126085.56</v>
      </c>
      <c r="K104" s="25">
        <v>41320</v>
      </c>
      <c r="L104" s="285"/>
    </row>
    <row r="105" spans="1:12" s="40" customFormat="1" x14ac:dyDescent="0.25">
      <c r="A105" s="8" t="s">
        <v>816</v>
      </c>
      <c r="B105" s="37" t="s">
        <v>959</v>
      </c>
      <c r="C105" s="38" t="s">
        <v>610</v>
      </c>
      <c r="D105" s="38"/>
      <c r="E105" s="8" t="s">
        <v>661</v>
      </c>
      <c r="F105" s="8" t="s">
        <v>2</v>
      </c>
      <c r="G105" s="12" t="s">
        <v>461</v>
      </c>
      <c r="H105" s="12" t="s">
        <v>461</v>
      </c>
      <c r="I105" s="160">
        <v>0</v>
      </c>
      <c r="J105" s="15">
        <v>18161.330000000002</v>
      </c>
      <c r="K105" s="25">
        <v>41320</v>
      </c>
      <c r="L105" s="285"/>
    </row>
    <row r="106" spans="1:12" s="40" customFormat="1" x14ac:dyDescent="0.25">
      <c r="A106" s="8" t="s">
        <v>816</v>
      </c>
      <c r="B106" s="37" t="s">
        <v>957</v>
      </c>
      <c r="C106" s="38" t="s">
        <v>610</v>
      </c>
      <c r="D106" s="38"/>
      <c r="E106" s="8" t="s">
        <v>661</v>
      </c>
      <c r="F106" s="8" t="s">
        <v>2</v>
      </c>
      <c r="G106" s="12" t="s">
        <v>461</v>
      </c>
      <c r="H106" s="12" t="s">
        <v>461</v>
      </c>
      <c r="I106" s="160">
        <v>0</v>
      </c>
      <c r="J106" s="15">
        <v>428.33</v>
      </c>
      <c r="K106" s="25">
        <v>41320</v>
      </c>
      <c r="L106" s="285"/>
    </row>
    <row r="107" spans="1:12" s="40" customFormat="1" x14ac:dyDescent="0.25">
      <c r="A107" s="8" t="s">
        <v>816</v>
      </c>
      <c r="B107" s="37" t="s">
        <v>989</v>
      </c>
      <c r="C107" s="38" t="s">
        <v>610</v>
      </c>
      <c r="D107" s="38"/>
      <c r="E107" s="8" t="s">
        <v>661</v>
      </c>
      <c r="F107" s="8" t="s">
        <v>2</v>
      </c>
      <c r="G107" s="12" t="s">
        <v>461</v>
      </c>
      <c r="H107" s="12" t="s">
        <v>461</v>
      </c>
      <c r="I107" s="160">
        <v>0</v>
      </c>
      <c r="J107" s="15">
        <v>12553.89</v>
      </c>
      <c r="K107" s="25">
        <v>41320</v>
      </c>
      <c r="L107" s="285"/>
    </row>
    <row r="108" spans="1:12" s="40" customFormat="1" x14ac:dyDescent="0.25">
      <c r="A108" s="8" t="s">
        <v>816</v>
      </c>
      <c r="B108" s="39" t="s">
        <v>501</v>
      </c>
      <c r="C108" s="18" t="s">
        <v>83</v>
      </c>
      <c r="D108" s="11">
        <v>42</v>
      </c>
      <c r="E108" s="8" t="s">
        <v>758</v>
      </c>
      <c r="F108" s="8" t="s">
        <v>2</v>
      </c>
      <c r="G108" s="12" t="s">
        <v>461</v>
      </c>
      <c r="H108" s="12" t="s">
        <v>461</v>
      </c>
      <c r="I108" s="160">
        <v>0</v>
      </c>
      <c r="J108" s="15">
        <v>453200</v>
      </c>
      <c r="K108" s="25">
        <v>41320</v>
      </c>
      <c r="L108" s="285"/>
    </row>
    <row r="109" spans="1:12" s="285" customFormat="1" ht="15" customHeight="1" x14ac:dyDescent="0.25">
      <c r="A109" s="281" t="s">
        <v>816</v>
      </c>
      <c r="B109" s="253" t="s">
        <v>637</v>
      </c>
      <c r="C109" s="276" t="s">
        <v>610</v>
      </c>
      <c r="D109" s="280">
        <v>42</v>
      </c>
      <c r="E109" s="281" t="s">
        <v>661</v>
      </c>
      <c r="F109" s="278" t="s">
        <v>2</v>
      </c>
      <c r="G109" s="12" t="s">
        <v>461</v>
      </c>
      <c r="H109" s="12" t="s">
        <v>461</v>
      </c>
      <c r="I109" s="160">
        <v>0</v>
      </c>
      <c r="J109" s="15">
        <v>1595842.97</v>
      </c>
      <c r="K109" s="258" t="s">
        <v>461</v>
      </c>
    </row>
    <row r="110" spans="1:12" s="40" customFormat="1" x14ac:dyDescent="0.25">
      <c r="A110" s="8" t="s">
        <v>816</v>
      </c>
      <c r="B110" s="37" t="s">
        <v>961</v>
      </c>
      <c r="C110" s="38" t="s">
        <v>610</v>
      </c>
      <c r="D110" s="38"/>
      <c r="E110" s="8" t="s">
        <v>661</v>
      </c>
      <c r="F110" s="8" t="s">
        <v>2</v>
      </c>
      <c r="G110" s="12" t="s">
        <v>461</v>
      </c>
      <c r="H110" s="12" t="s">
        <v>461</v>
      </c>
      <c r="I110" s="160">
        <v>0</v>
      </c>
      <c r="J110" s="15">
        <v>31825.17</v>
      </c>
      <c r="K110" s="25">
        <v>41320</v>
      </c>
      <c r="L110" s="285"/>
    </row>
    <row r="111" spans="1:12" s="40" customFormat="1" x14ac:dyDescent="0.25">
      <c r="A111" s="8" t="s">
        <v>816</v>
      </c>
      <c r="B111" s="37" t="s">
        <v>997</v>
      </c>
      <c r="C111" s="38" t="s">
        <v>610</v>
      </c>
      <c r="D111" s="38"/>
      <c r="E111" s="8" t="s">
        <v>661</v>
      </c>
      <c r="F111" s="8" t="s">
        <v>2</v>
      </c>
      <c r="G111" s="12" t="s">
        <v>461</v>
      </c>
      <c r="H111" s="12" t="s">
        <v>461</v>
      </c>
      <c r="I111" s="160">
        <v>0</v>
      </c>
      <c r="J111" s="15">
        <v>52300.78</v>
      </c>
      <c r="K111" s="25">
        <v>41320</v>
      </c>
      <c r="L111" s="285"/>
    </row>
    <row r="112" spans="1:12" s="40" customFormat="1" x14ac:dyDescent="0.25">
      <c r="A112" s="8" t="s">
        <v>816</v>
      </c>
      <c r="B112" s="37" t="s">
        <v>952</v>
      </c>
      <c r="C112" s="38" t="s">
        <v>610</v>
      </c>
      <c r="D112" s="38"/>
      <c r="E112" s="8" t="s">
        <v>661</v>
      </c>
      <c r="F112" s="8" t="s">
        <v>2</v>
      </c>
      <c r="G112" s="12" t="s">
        <v>461</v>
      </c>
      <c r="H112" s="12" t="s">
        <v>461</v>
      </c>
      <c r="I112" s="160">
        <v>0</v>
      </c>
      <c r="J112" s="15">
        <v>82025.83</v>
      </c>
      <c r="K112" s="25">
        <v>41320</v>
      </c>
      <c r="L112" s="285"/>
    </row>
    <row r="113" spans="1:12" s="40" customFormat="1" x14ac:dyDescent="0.25">
      <c r="A113" s="8" t="s">
        <v>816</v>
      </c>
      <c r="B113" s="37" t="s">
        <v>1018</v>
      </c>
      <c r="C113" s="38" t="s">
        <v>610</v>
      </c>
      <c r="D113" s="12"/>
      <c r="E113" s="8" t="s">
        <v>661</v>
      </c>
      <c r="F113" s="8" t="s">
        <v>2</v>
      </c>
      <c r="G113" s="12" t="s">
        <v>461</v>
      </c>
      <c r="H113" s="12" t="s">
        <v>461</v>
      </c>
      <c r="I113" s="160">
        <v>0</v>
      </c>
      <c r="J113" s="15">
        <v>2425.67</v>
      </c>
      <c r="K113" s="25">
        <v>41320</v>
      </c>
      <c r="L113" s="285"/>
    </row>
    <row r="114" spans="1:12" x14ac:dyDescent="0.25">
      <c r="A114" s="8" t="s">
        <v>0</v>
      </c>
      <c r="B114" s="39" t="s">
        <v>1</v>
      </c>
      <c r="C114" s="18" t="s">
        <v>4</v>
      </c>
      <c r="D114" s="11" t="s">
        <v>1260</v>
      </c>
      <c r="E114" s="12" t="s">
        <v>758</v>
      </c>
      <c r="F114" s="12" t="s">
        <v>2</v>
      </c>
      <c r="G114" s="12" t="s">
        <v>461</v>
      </c>
      <c r="H114" s="12" t="s">
        <v>461</v>
      </c>
      <c r="I114" s="160">
        <v>0</v>
      </c>
      <c r="J114" s="15">
        <v>1106666.67</v>
      </c>
      <c r="K114" s="25" t="s">
        <v>461</v>
      </c>
      <c r="L114" s="285"/>
    </row>
    <row r="115" spans="1:12" s="277" customFormat="1" x14ac:dyDescent="0.25">
      <c r="A115" s="8" t="s">
        <v>0</v>
      </c>
      <c r="B115" s="39" t="s">
        <v>3</v>
      </c>
      <c r="C115" s="18" t="s">
        <v>5</v>
      </c>
      <c r="D115" s="11">
        <v>65</v>
      </c>
      <c r="E115" s="12" t="s">
        <v>759</v>
      </c>
      <c r="F115" s="12" t="s">
        <v>2</v>
      </c>
      <c r="G115" s="12" t="s">
        <v>461</v>
      </c>
      <c r="H115" s="12" t="s">
        <v>461</v>
      </c>
      <c r="I115" s="160">
        <v>0</v>
      </c>
      <c r="J115" s="15">
        <v>1128156.4400000002</v>
      </c>
      <c r="K115" s="25" t="s">
        <v>461</v>
      </c>
      <c r="L115" s="285"/>
    </row>
    <row r="116" spans="1:12" s="277" customFormat="1" x14ac:dyDescent="0.25">
      <c r="A116" s="8" t="s">
        <v>0</v>
      </c>
      <c r="B116" s="39" t="s">
        <v>6</v>
      </c>
      <c r="C116" s="18" t="s">
        <v>4</v>
      </c>
      <c r="D116" s="11"/>
      <c r="E116" s="12" t="s">
        <v>758</v>
      </c>
      <c r="F116" s="8" t="s">
        <v>2</v>
      </c>
      <c r="G116" s="12" t="s">
        <v>461</v>
      </c>
      <c r="H116" s="12" t="s">
        <v>461</v>
      </c>
      <c r="I116" s="160">
        <v>0</v>
      </c>
      <c r="J116" s="15">
        <v>1229948.97</v>
      </c>
      <c r="K116" s="25">
        <v>41320</v>
      </c>
      <c r="L116" s="285"/>
    </row>
    <row r="117" spans="1:12" s="277" customFormat="1" x14ac:dyDescent="0.25">
      <c r="A117" s="8" t="s">
        <v>0</v>
      </c>
      <c r="B117" s="39" t="s">
        <v>7</v>
      </c>
      <c r="C117" s="18" t="s">
        <v>4</v>
      </c>
      <c r="D117" s="11" t="s">
        <v>1260</v>
      </c>
      <c r="E117" s="12" t="s">
        <v>758</v>
      </c>
      <c r="F117" s="12" t="s">
        <v>2</v>
      </c>
      <c r="G117" s="12" t="s">
        <v>461</v>
      </c>
      <c r="H117" s="12" t="s">
        <v>461</v>
      </c>
      <c r="I117" s="160">
        <v>0</v>
      </c>
      <c r="J117" s="15">
        <v>10730000.003333334</v>
      </c>
      <c r="K117" s="25" t="s">
        <v>461</v>
      </c>
      <c r="L117" s="285"/>
    </row>
    <row r="118" spans="1:12" s="277" customFormat="1" x14ac:dyDescent="0.25">
      <c r="A118" s="8" t="s">
        <v>0</v>
      </c>
      <c r="B118" s="39" t="s">
        <v>8</v>
      </c>
      <c r="C118" s="18" t="s">
        <v>5</v>
      </c>
      <c r="D118" s="11" t="s">
        <v>1260</v>
      </c>
      <c r="E118" s="12" t="s">
        <v>758</v>
      </c>
      <c r="F118" s="12" t="s">
        <v>2</v>
      </c>
      <c r="G118" s="12" t="s">
        <v>461</v>
      </c>
      <c r="H118" s="12" t="s">
        <v>461</v>
      </c>
      <c r="I118" s="160">
        <v>0</v>
      </c>
      <c r="J118" s="15">
        <v>370902.67000000004</v>
      </c>
      <c r="K118" s="13" t="s">
        <v>461</v>
      </c>
      <c r="L118" s="285"/>
    </row>
    <row r="119" spans="1:12" s="277" customFormat="1" x14ac:dyDescent="0.25">
      <c r="A119" s="8" t="s">
        <v>0</v>
      </c>
      <c r="B119" s="39" t="s">
        <v>9</v>
      </c>
      <c r="C119" s="18" t="s">
        <v>4</v>
      </c>
      <c r="D119" s="11"/>
      <c r="E119" s="12" t="s">
        <v>758</v>
      </c>
      <c r="F119" s="8" t="s">
        <v>2</v>
      </c>
      <c r="G119" s="12" t="s">
        <v>461</v>
      </c>
      <c r="H119" s="12" t="s">
        <v>461</v>
      </c>
      <c r="I119" s="160">
        <v>0</v>
      </c>
      <c r="J119" s="15">
        <v>360694.44</v>
      </c>
      <c r="K119" s="25">
        <v>41320</v>
      </c>
      <c r="L119" s="285"/>
    </row>
    <row r="120" spans="1:12" s="277" customFormat="1" x14ac:dyDescent="0.25">
      <c r="A120" s="8" t="s">
        <v>0</v>
      </c>
      <c r="B120" s="39" t="s">
        <v>10</v>
      </c>
      <c r="C120" s="18" t="s">
        <v>5</v>
      </c>
      <c r="D120" s="11">
        <v>65</v>
      </c>
      <c r="E120" s="12" t="s">
        <v>758</v>
      </c>
      <c r="F120" s="12" t="s">
        <v>2</v>
      </c>
      <c r="G120" s="12" t="s">
        <v>461</v>
      </c>
      <c r="H120" s="12" t="s">
        <v>461</v>
      </c>
      <c r="I120" s="160">
        <v>0</v>
      </c>
      <c r="J120" s="15">
        <v>1715769</v>
      </c>
      <c r="K120" s="25" t="s">
        <v>461</v>
      </c>
      <c r="L120" s="285"/>
    </row>
    <row r="121" spans="1:12" s="277" customFormat="1" x14ac:dyDescent="0.25">
      <c r="A121" s="8" t="s">
        <v>0</v>
      </c>
      <c r="B121" s="39" t="s">
        <v>11</v>
      </c>
      <c r="C121" s="18" t="s">
        <v>5</v>
      </c>
      <c r="D121" s="11"/>
      <c r="E121" s="12" t="s">
        <v>758</v>
      </c>
      <c r="F121" s="8" t="s">
        <v>2</v>
      </c>
      <c r="G121" s="12" t="s">
        <v>461</v>
      </c>
      <c r="H121" s="12" t="s">
        <v>461</v>
      </c>
      <c r="I121" s="160">
        <v>0</v>
      </c>
      <c r="J121" s="15">
        <v>998056.89</v>
      </c>
      <c r="K121" s="25">
        <v>41320</v>
      </c>
      <c r="L121" s="285"/>
    </row>
    <row r="122" spans="1:12" s="277" customFormat="1" x14ac:dyDescent="0.25">
      <c r="A122" s="278" t="s">
        <v>0</v>
      </c>
      <c r="B122" s="245" t="s">
        <v>12</v>
      </c>
      <c r="C122" s="246" t="s">
        <v>4</v>
      </c>
      <c r="D122" s="257">
        <v>92</v>
      </c>
      <c r="E122" s="278" t="s">
        <v>758</v>
      </c>
      <c r="F122" s="281" t="s">
        <v>2</v>
      </c>
      <c r="G122" s="12" t="s">
        <v>461</v>
      </c>
      <c r="H122" s="12" t="s">
        <v>461</v>
      </c>
      <c r="I122" s="160">
        <v>0</v>
      </c>
      <c r="J122" s="15">
        <v>913405.03</v>
      </c>
      <c r="K122" s="258" t="s">
        <v>461</v>
      </c>
      <c r="L122" s="285"/>
    </row>
    <row r="123" spans="1:12" s="277" customFormat="1" x14ac:dyDescent="0.25">
      <c r="A123" s="8" t="s">
        <v>0</v>
      </c>
      <c r="B123" s="39" t="s">
        <v>626</v>
      </c>
      <c r="C123" s="45" t="s">
        <v>561</v>
      </c>
      <c r="D123" s="11"/>
      <c r="E123" s="12" t="s">
        <v>758</v>
      </c>
      <c r="F123" s="8" t="s">
        <v>2</v>
      </c>
      <c r="G123" s="12" t="s">
        <v>461</v>
      </c>
      <c r="H123" s="12" t="s">
        <v>461</v>
      </c>
      <c r="I123" s="160">
        <v>0</v>
      </c>
      <c r="J123" s="15">
        <v>550954.14</v>
      </c>
      <c r="K123" s="25">
        <v>41320</v>
      </c>
      <c r="L123" s="285"/>
    </row>
    <row r="124" spans="1:12" s="277" customFormat="1" x14ac:dyDescent="0.25">
      <c r="A124" s="8" t="s">
        <v>0</v>
      </c>
      <c r="B124" s="39" t="s">
        <v>13</v>
      </c>
      <c r="C124" s="18" t="s">
        <v>4</v>
      </c>
      <c r="D124" s="11" t="s">
        <v>1260</v>
      </c>
      <c r="E124" s="12" t="s">
        <v>758</v>
      </c>
      <c r="F124" s="12" t="s">
        <v>2</v>
      </c>
      <c r="G124" s="12" t="s">
        <v>461</v>
      </c>
      <c r="H124" s="12" t="s">
        <v>461</v>
      </c>
      <c r="I124" s="160">
        <v>0</v>
      </c>
      <c r="J124" s="15">
        <v>538360</v>
      </c>
      <c r="K124" s="13" t="s">
        <v>461</v>
      </c>
      <c r="L124" s="285"/>
    </row>
    <row r="125" spans="1:12" s="285" customFormat="1" x14ac:dyDescent="0.25">
      <c r="A125" s="8" t="s">
        <v>0</v>
      </c>
      <c r="B125" s="39" t="s">
        <v>642</v>
      </c>
      <c r="C125" s="10" t="s">
        <v>560</v>
      </c>
      <c r="D125" s="26"/>
      <c r="E125" s="8" t="s">
        <v>661</v>
      </c>
      <c r="F125" s="30" t="s">
        <v>2</v>
      </c>
      <c r="G125" s="12" t="s">
        <v>461</v>
      </c>
      <c r="H125" s="12" t="s">
        <v>461</v>
      </c>
      <c r="I125" s="160">
        <v>0</v>
      </c>
      <c r="J125" s="15">
        <v>388741.8</v>
      </c>
      <c r="K125" s="25">
        <v>41320</v>
      </c>
    </row>
    <row r="126" spans="1:12" s="277" customFormat="1" x14ac:dyDescent="0.25">
      <c r="A126" s="8" t="s">
        <v>0</v>
      </c>
      <c r="B126" s="39" t="s">
        <v>14</v>
      </c>
      <c r="C126" s="18" t="s">
        <v>5</v>
      </c>
      <c r="D126" s="11"/>
      <c r="E126" s="12" t="s">
        <v>758</v>
      </c>
      <c r="F126" s="8" t="s">
        <v>2</v>
      </c>
      <c r="G126" s="12" t="s">
        <v>461</v>
      </c>
      <c r="H126" s="12" t="s">
        <v>461</v>
      </c>
      <c r="I126" s="160">
        <v>0</v>
      </c>
      <c r="J126" s="15">
        <v>409753</v>
      </c>
      <c r="K126" s="25">
        <v>41320</v>
      </c>
      <c r="L126" s="285"/>
    </row>
    <row r="127" spans="1:12" s="277" customFormat="1" x14ac:dyDescent="0.25">
      <c r="A127" s="8" t="s">
        <v>0</v>
      </c>
      <c r="B127" s="39" t="s">
        <v>15</v>
      </c>
      <c r="C127" s="18" t="s">
        <v>5</v>
      </c>
      <c r="D127" s="17">
        <v>92</v>
      </c>
      <c r="E127" s="12" t="s">
        <v>758</v>
      </c>
      <c r="F127" s="8" t="s">
        <v>2</v>
      </c>
      <c r="G127" s="12" t="s">
        <v>461</v>
      </c>
      <c r="H127" s="12" t="s">
        <v>461</v>
      </c>
      <c r="I127" s="160">
        <v>0</v>
      </c>
      <c r="J127" s="15">
        <v>13407113.690000001</v>
      </c>
      <c r="K127" s="25" t="s">
        <v>461</v>
      </c>
      <c r="L127" s="285"/>
    </row>
    <row r="128" spans="1:12" s="277" customFormat="1" x14ac:dyDescent="0.25">
      <c r="A128" s="8" t="s">
        <v>0</v>
      </c>
      <c r="B128" s="39" t="s">
        <v>16</v>
      </c>
      <c r="C128" s="18" t="s">
        <v>5</v>
      </c>
      <c r="D128" s="11">
        <v>66</v>
      </c>
      <c r="E128" s="12" t="s">
        <v>758</v>
      </c>
      <c r="F128" s="12" t="s">
        <v>2</v>
      </c>
      <c r="G128" s="12" t="s">
        <v>461</v>
      </c>
      <c r="H128" s="12" t="s">
        <v>461</v>
      </c>
      <c r="I128" s="160">
        <v>0</v>
      </c>
      <c r="J128" s="15">
        <v>529576.44999999995</v>
      </c>
      <c r="K128" s="25" t="s">
        <v>461</v>
      </c>
      <c r="L128" s="285"/>
    </row>
    <row r="129" spans="1:12" s="277" customFormat="1" x14ac:dyDescent="0.25">
      <c r="A129" s="8" t="s">
        <v>0</v>
      </c>
      <c r="B129" s="39" t="s">
        <v>17</v>
      </c>
      <c r="C129" s="18" t="s">
        <v>5</v>
      </c>
      <c r="D129" s="11">
        <v>65</v>
      </c>
      <c r="E129" s="12" t="s">
        <v>758</v>
      </c>
      <c r="F129" s="12" t="s">
        <v>2</v>
      </c>
      <c r="G129" s="12" t="s">
        <v>461</v>
      </c>
      <c r="H129" s="12" t="s">
        <v>461</v>
      </c>
      <c r="I129" s="160">
        <v>0</v>
      </c>
      <c r="J129" s="15">
        <v>343021.33</v>
      </c>
      <c r="K129" s="25" t="s">
        <v>461</v>
      </c>
      <c r="L129" s="285"/>
    </row>
    <row r="130" spans="1:12" s="277" customFormat="1" x14ac:dyDescent="0.25">
      <c r="A130" s="8" t="s">
        <v>0</v>
      </c>
      <c r="B130" s="39" t="s">
        <v>18</v>
      </c>
      <c r="C130" s="18" t="s">
        <v>4</v>
      </c>
      <c r="D130" s="11" t="s">
        <v>1260</v>
      </c>
      <c r="E130" s="12" t="s">
        <v>758</v>
      </c>
      <c r="F130" s="12" t="s">
        <v>2</v>
      </c>
      <c r="G130" s="12" t="s">
        <v>461</v>
      </c>
      <c r="H130" s="12" t="s">
        <v>461</v>
      </c>
      <c r="I130" s="160">
        <v>0</v>
      </c>
      <c r="J130" s="15">
        <v>74367308.329999998</v>
      </c>
      <c r="K130" s="13" t="s">
        <v>461</v>
      </c>
      <c r="L130" s="285"/>
    </row>
    <row r="131" spans="1:12" s="277" customFormat="1" x14ac:dyDescent="0.25">
      <c r="A131" s="8" t="s">
        <v>0</v>
      </c>
      <c r="B131" s="46" t="s">
        <v>562</v>
      </c>
      <c r="C131" s="18" t="s">
        <v>561</v>
      </c>
      <c r="D131" s="11" t="s">
        <v>1260</v>
      </c>
      <c r="E131" s="12" t="s">
        <v>758</v>
      </c>
      <c r="F131" s="12" t="s">
        <v>2</v>
      </c>
      <c r="G131" s="12" t="s">
        <v>461</v>
      </c>
      <c r="H131" s="12" t="s">
        <v>461</v>
      </c>
      <c r="I131" s="160">
        <v>0</v>
      </c>
      <c r="J131" s="15">
        <v>162682.49</v>
      </c>
      <c r="K131" s="25" t="s">
        <v>461</v>
      </c>
      <c r="L131" s="285"/>
    </row>
    <row r="132" spans="1:12" s="277" customFormat="1" x14ac:dyDescent="0.25">
      <c r="A132" s="8" t="s">
        <v>0</v>
      </c>
      <c r="B132" s="39" t="s">
        <v>19</v>
      </c>
      <c r="C132" s="18" t="s">
        <v>5</v>
      </c>
      <c r="D132" s="11" t="s">
        <v>1260</v>
      </c>
      <c r="E132" s="12" t="s">
        <v>758</v>
      </c>
      <c r="F132" s="12" t="s">
        <v>2</v>
      </c>
      <c r="G132" s="12" t="s">
        <v>461</v>
      </c>
      <c r="H132" s="12" t="s">
        <v>461</v>
      </c>
      <c r="I132" s="160">
        <v>0</v>
      </c>
      <c r="J132" s="15">
        <v>920141.67</v>
      </c>
      <c r="K132" s="25" t="s">
        <v>461</v>
      </c>
      <c r="L132" s="285"/>
    </row>
    <row r="133" spans="1:12" s="277" customFormat="1" x14ac:dyDescent="0.25">
      <c r="A133" s="8" t="s">
        <v>0</v>
      </c>
      <c r="B133" s="39" t="s">
        <v>20</v>
      </c>
      <c r="C133" s="18" t="s">
        <v>4</v>
      </c>
      <c r="D133" s="11">
        <v>80</v>
      </c>
      <c r="E133" s="12" t="s">
        <v>758</v>
      </c>
      <c r="F133" s="12" t="s">
        <v>2</v>
      </c>
      <c r="G133" s="12" t="s">
        <v>461</v>
      </c>
      <c r="H133" s="12" t="s">
        <v>461</v>
      </c>
      <c r="I133" s="160">
        <v>0</v>
      </c>
      <c r="J133" s="15">
        <v>9302106.6699999999</v>
      </c>
      <c r="K133" s="25" t="s">
        <v>461</v>
      </c>
      <c r="L133" s="285"/>
    </row>
    <row r="134" spans="1:12" s="277" customFormat="1" x14ac:dyDescent="0.25">
      <c r="A134" s="8" t="s">
        <v>0</v>
      </c>
      <c r="B134" s="39" t="s">
        <v>21</v>
      </c>
      <c r="C134" s="18" t="s">
        <v>4</v>
      </c>
      <c r="D134" s="11">
        <v>66</v>
      </c>
      <c r="E134" s="12" t="s">
        <v>758</v>
      </c>
      <c r="F134" s="12" t="s">
        <v>2</v>
      </c>
      <c r="G134" s="12" t="s">
        <v>461</v>
      </c>
      <c r="H134" s="12" t="s">
        <v>461</v>
      </c>
      <c r="I134" s="160">
        <v>0</v>
      </c>
      <c r="J134" s="15">
        <v>2776666.66</v>
      </c>
      <c r="K134" s="25" t="s">
        <v>461</v>
      </c>
      <c r="L134" s="285"/>
    </row>
    <row r="135" spans="1:12" s="285" customFormat="1" x14ac:dyDescent="0.25">
      <c r="A135" s="8" t="s">
        <v>0</v>
      </c>
      <c r="B135" s="39" t="s">
        <v>677</v>
      </c>
      <c r="C135" s="45" t="s">
        <v>560</v>
      </c>
      <c r="D135" s="26"/>
      <c r="E135" s="8" t="s">
        <v>661</v>
      </c>
      <c r="F135" s="30" t="s">
        <v>2</v>
      </c>
      <c r="G135" s="12" t="s">
        <v>461</v>
      </c>
      <c r="H135" s="12" t="s">
        <v>461</v>
      </c>
      <c r="I135" s="160">
        <v>0</v>
      </c>
      <c r="J135" s="15">
        <v>1356385</v>
      </c>
      <c r="K135" s="25">
        <v>41320</v>
      </c>
    </row>
    <row r="136" spans="1:12" s="277" customFormat="1" x14ac:dyDescent="0.25">
      <c r="A136" s="8" t="s">
        <v>0</v>
      </c>
      <c r="B136" s="39" t="s">
        <v>22</v>
      </c>
      <c r="C136" s="18" t="s">
        <v>26</v>
      </c>
      <c r="D136" s="11"/>
      <c r="E136" s="12" t="s">
        <v>758</v>
      </c>
      <c r="F136" s="8" t="s">
        <v>2</v>
      </c>
      <c r="G136" s="12" t="s">
        <v>461</v>
      </c>
      <c r="H136" s="12" t="s">
        <v>461</v>
      </c>
      <c r="I136" s="160">
        <v>0</v>
      </c>
      <c r="J136" s="15">
        <v>0</v>
      </c>
      <c r="K136" s="25">
        <v>41320</v>
      </c>
      <c r="L136" s="285"/>
    </row>
    <row r="137" spans="1:12" s="277" customFormat="1" x14ac:dyDescent="0.25">
      <c r="A137" s="8" t="s">
        <v>0</v>
      </c>
      <c r="B137" s="39" t="s">
        <v>23</v>
      </c>
      <c r="C137" s="18" t="s">
        <v>4</v>
      </c>
      <c r="D137" s="11"/>
      <c r="E137" s="12" t="s">
        <v>758</v>
      </c>
      <c r="F137" s="8" t="s">
        <v>2</v>
      </c>
      <c r="G137" s="12" t="s">
        <v>461</v>
      </c>
      <c r="H137" s="12" t="s">
        <v>461</v>
      </c>
      <c r="I137" s="160">
        <v>0</v>
      </c>
      <c r="J137" s="15">
        <v>1428298</v>
      </c>
      <c r="K137" s="25">
        <v>41320</v>
      </c>
      <c r="L137" s="285"/>
    </row>
    <row r="138" spans="1:12" s="277" customFormat="1" x14ac:dyDescent="0.25">
      <c r="A138" s="8" t="s">
        <v>0</v>
      </c>
      <c r="B138" s="39" t="s">
        <v>24</v>
      </c>
      <c r="C138" s="18" t="s">
        <v>4</v>
      </c>
      <c r="D138" s="11"/>
      <c r="E138" s="12" t="s">
        <v>758</v>
      </c>
      <c r="F138" s="12" t="s">
        <v>2</v>
      </c>
      <c r="G138" s="12" t="s">
        <v>461</v>
      </c>
      <c r="H138" s="12" t="s">
        <v>461</v>
      </c>
      <c r="I138" s="160">
        <v>0</v>
      </c>
      <c r="J138" s="15">
        <v>68104166.670000002</v>
      </c>
      <c r="K138" s="25" t="s">
        <v>461</v>
      </c>
      <c r="L138" s="285"/>
    </row>
    <row r="139" spans="1:12" s="277" customFormat="1" x14ac:dyDescent="0.25">
      <c r="A139" s="8" t="s">
        <v>0</v>
      </c>
      <c r="B139" s="9" t="s">
        <v>723</v>
      </c>
      <c r="C139" s="18" t="s">
        <v>5</v>
      </c>
      <c r="D139" s="11"/>
      <c r="E139" s="12" t="s">
        <v>758</v>
      </c>
      <c r="F139" s="12" t="s">
        <v>2</v>
      </c>
      <c r="G139" s="12" t="s">
        <v>461</v>
      </c>
      <c r="H139" s="12" t="s">
        <v>461</v>
      </c>
      <c r="I139" s="160">
        <v>0</v>
      </c>
      <c r="J139" s="15">
        <v>122724.78</v>
      </c>
      <c r="K139" s="25">
        <v>41320</v>
      </c>
      <c r="L139" s="285"/>
    </row>
    <row r="140" spans="1:12" s="277" customFormat="1" x14ac:dyDescent="0.25">
      <c r="A140" s="8" t="s">
        <v>0</v>
      </c>
      <c r="B140" s="39" t="s">
        <v>25</v>
      </c>
      <c r="C140" s="18" t="s">
        <v>5</v>
      </c>
      <c r="D140" s="11">
        <v>65</v>
      </c>
      <c r="E140" s="12" t="s">
        <v>758</v>
      </c>
      <c r="F140" s="12" t="s">
        <v>2</v>
      </c>
      <c r="G140" s="12" t="s">
        <v>461</v>
      </c>
      <c r="H140" s="12" t="s">
        <v>461</v>
      </c>
      <c r="I140" s="160">
        <v>0</v>
      </c>
      <c r="J140" s="15">
        <v>1028415.33</v>
      </c>
      <c r="K140" s="25" t="s">
        <v>461</v>
      </c>
      <c r="L140" s="285"/>
    </row>
    <row r="141" spans="1:12" s="277" customFormat="1" x14ac:dyDescent="0.25">
      <c r="A141" s="8" t="s">
        <v>0</v>
      </c>
      <c r="B141" s="39" t="s">
        <v>27</v>
      </c>
      <c r="C141" s="18" t="s">
        <v>5</v>
      </c>
      <c r="D141" s="11">
        <v>65</v>
      </c>
      <c r="E141" s="12" t="s">
        <v>758</v>
      </c>
      <c r="F141" s="12" t="s">
        <v>2</v>
      </c>
      <c r="G141" s="12" t="s">
        <v>461</v>
      </c>
      <c r="H141" s="12" t="s">
        <v>461</v>
      </c>
      <c r="I141" s="160">
        <v>0</v>
      </c>
      <c r="J141" s="15">
        <v>2686411.03</v>
      </c>
      <c r="K141" s="25" t="s">
        <v>461</v>
      </c>
      <c r="L141" s="285"/>
    </row>
    <row r="142" spans="1:12" x14ac:dyDescent="0.25">
      <c r="A142" s="281" t="s">
        <v>0</v>
      </c>
      <c r="B142" s="251" t="s">
        <v>647</v>
      </c>
      <c r="C142" s="254" t="s">
        <v>5</v>
      </c>
      <c r="D142" s="280">
        <v>65</v>
      </c>
      <c r="E142" s="278" t="s">
        <v>758</v>
      </c>
      <c r="F142" s="12" t="s">
        <v>2</v>
      </c>
      <c r="G142" s="12" t="s">
        <v>461</v>
      </c>
      <c r="H142" s="12" t="s">
        <v>461</v>
      </c>
      <c r="I142" s="160">
        <v>0</v>
      </c>
      <c r="J142" s="15">
        <v>1516736.93</v>
      </c>
      <c r="K142" s="258" t="s">
        <v>461</v>
      </c>
      <c r="L142" s="285"/>
    </row>
    <row r="143" spans="1:12" s="277" customFormat="1" x14ac:dyDescent="0.25">
      <c r="A143" s="8" t="s">
        <v>0</v>
      </c>
      <c r="B143" s="9" t="s">
        <v>28</v>
      </c>
      <c r="C143" s="18" t="s">
        <v>4</v>
      </c>
      <c r="D143" s="11" t="s">
        <v>1260</v>
      </c>
      <c r="E143" s="12" t="s">
        <v>758</v>
      </c>
      <c r="F143" s="12" t="s">
        <v>2</v>
      </c>
      <c r="G143" s="12" t="s">
        <v>461</v>
      </c>
      <c r="H143" s="12" t="s">
        <v>461</v>
      </c>
      <c r="I143" s="160">
        <v>0</v>
      </c>
      <c r="J143" s="15">
        <v>941666.65999999992</v>
      </c>
      <c r="K143" s="13" t="s">
        <v>461</v>
      </c>
      <c r="L143" s="285"/>
    </row>
    <row r="144" spans="1:12" s="277" customFormat="1" x14ac:dyDescent="0.25">
      <c r="A144" s="8" t="s">
        <v>0</v>
      </c>
      <c r="B144" s="39" t="s">
        <v>29</v>
      </c>
      <c r="C144" s="18" t="s">
        <v>5</v>
      </c>
      <c r="D144" s="11">
        <v>42</v>
      </c>
      <c r="E144" s="12" t="s">
        <v>758</v>
      </c>
      <c r="F144" s="12" t="s">
        <v>2</v>
      </c>
      <c r="G144" s="12" t="s">
        <v>461</v>
      </c>
      <c r="H144" s="12" t="s">
        <v>461</v>
      </c>
      <c r="I144" s="160">
        <v>0</v>
      </c>
      <c r="J144" s="15">
        <v>4207399.333333333</v>
      </c>
      <c r="K144" s="25" t="s">
        <v>461</v>
      </c>
      <c r="L144" s="285"/>
    </row>
    <row r="145" spans="1:12" s="277" customFormat="1" x14ac:dyDescent="0.25">
      <c r="A145" s="8" t="s">
        <v>0</v>
      </c>
      <c r="B145" s="39" t="s">
        <v>30</v>
      </c>
      <c r="C145" s="18" t="s">
        <v>5</v>
      </c>
      <c r="D145" s="11"/>
      <c r="E145" s="12" t="s">
        <v>758</v>
      </c>
      <c r="F145" s="8" t="s">
        <v>2</v>
      </c>
      <c r="G145" s="12" t="s">
        <v>461</v>
      </c>
      <c r="H145" s="12" t="s">
        <v>461</v>
      </c>
      <c r="I145" s="160">
        <v>0</v>
      </c>
      <c r="J145" s="15">
        <v>1695131.65</v>
      </c>
      <c r="K145" s="25">
        <v>41320</v>
      </c>
      <c r="L145" s="285"/>
    </row>
    <row r="146" spans="1:12" s="277" customFormat="1" x14ac:dyDescent="0.25">
      <c r="A146" s="8" t="s">
        <v>0</v>
      </c>
      <c r="B146" s="39" t="s">
        <v>31</v>
      </c>
      <c r="C146" s="18" t="s">
        <v>4</v>
      </c>
      <c r="D146" s="11"/>
      <c r="E146" s="12" t="s">
        <v>758</v>
      </c>
      <c r="F146" s="8" t="s">
        <v>2</v>
      </c>
      <c r="G146" s="12" t="s">
        <v>461</v>
      </c>
      <c r="H146" s="12" t="s">
        <v>461</v>
      </c>
      <c r="I146" s="160">
        <v>0</v>
      </c>
      <c r="J146" s="15">
        <v>7888888.8900000006</v>
      </c>
      <c r="K146" s="25">
        <v>41320</v>
      </c>
      <c r="L146" s="285"/>
    </row>
    <row r="147" spans="1:12" s="277" customFormat="1" x14ac:dyDescent="0.25">
      <c r="A147" s="8" t="s">
        <v>0</v>
      </c>
      <c r="B147" s="9" t="s">
        <v>672</v>
      </c>
      <c r="C147" s="19" t="s">
        <v>5</v>
      </c>
      <c r="D147" s="11">
        <v>92</v>
      </c>
      <c r="E147" s="12" t="s">
        <v>758</v>
      </c>
      <c r="F147" s="8" t="s">
        <v>2</v>
      </c>
      <c r="G147" s="12" t="s">
        <v>461</v>
      </c>
      <c r="H147" s="12" t="s">
        <v>461</v>
      </c>
      <c r="I147" s="160">
        <v>0</v>
      </c>
      <c r="J147" s="15">
        <v>183243.88</v>
      </c>
      <c r="K147" s="25" t="s">
        <v>461</v>
      </c>
      <c r="L147" s="285"/>
    </row>
    <row r="148" spans="1:12" s="277" customFormat="1" x14ac:dyDescent="0.25">
      <c r="A148" s="8" t="s">
        <v>0</v>
      </c>
      <c r="B148" s="9" t="s">
        <v>32</v>
      </c>
      <c r="C148" s="18" t="s">
        <v>4</v>
      </c>
      <c r="D148" s="11" t="s">
        <v>1260</v>
      </c>
      <c r="E148" s="12" t="s">
        <v>758</v>
      </c>
      <c r="F148" s="12" t="s">
        <v>2</v>
      </c>
      <c r="G148" s="12" t="s">
        <v>461</v>
      </c>
      <c r="H148" s="12" t="s">
        <v>461</v>
      </c>
      <c r="I148" s="160">
        <v>0</v>
      </c>
      <c r="J148" s="15">
        <v>458333333.32999998</v>
      </c>
      <c r="K148" s="13" t="s">
        <v>461</v>
      </c>
      <c r="L148" s="285"/>
    </row>
    <row r="149" spans="1:12" s="277" customFormat="1" x14ac:dyDescent="0.25">
      <c r="A149" s="8" t="s">
        <v>0</v>
      </c>
      <c r="B149" s="39" t="s">
        <v>32</v>
      </c>
      <c r="C149" s="18" t="s">
        <v>4</v>
      </c>
      <c r="D149" s="11" t="s">
        <v>1260</v>
      </c>
      <c r="E149" s="12" t="s">
        <v>758</v>
      </c>
      <c r="F149" s="12" t="s">
        <v>2</v>
      </c>
      <c r="G149" s="12" t="s">
        <v>461</v>
      </c>
      <c r="H149" s="12" t="s">
        <v>461</v>
      </c>
      <c r="I149" s="160">
        <v>0</v>
      </c>
      <c r="J149" s="15">
        <v>835416666.67000008</v>
      </c>
      <c r="K149" s="13" t="s">
        <v>461</v>
      </c>
      <c r="L149" s="285"/>
    </row>
    <row r="150" spans="1:12" s="277" customFormat="1" x14ac:dyDescent="0.25">
      <c r="A150" s="281" t="s">
        <v>0</v>
      </c>
      <c r="B150" s="249" t="s">
        <v>34</v>
      </c>
      <c r="C150" s="246" t="s">
        <v>5</v>
      </c>
      <c r="D150" s="280">
        <v>92</v>
      </c>
      <c r="E150" s="278" t="s">
        <v>759</v>
      </c>
      <c r="F150" s="281" t="s">
        <v>2</v>
      </c>
      <c r="G150" s="12" t="s">
        <v>461</v>
      </c>
      <c r="H150" s="12" t="s">
        <v>461</v>
      </c>
      <c r="I150" s="160">
        <v>0</v>
      </c>
      <c r="J150" s="15">
        <v>510473.33</v>
      </c>
      <c r="K150" s="258" t="s">
        <v>461</v>
      </c>
      <c r="L150" s="285"/>
    </row>
    <row r="151" spans="1:12" s="277" customFormat="1" x14ac:dyDescent="0.25">
      <c r="A151" s="8" t="s">
        <v>0</v>
      </c>
      <c r="B151" s="39" t="s">
        <v>35</v>
      </c>
      <c r="C151" s="18" t="s">
        <v>4</v>
      </c>
      <c r="D151" s="11">
        <v>65</v>
      </c>
      <c r="E151" s="12" t="s">
        <v>758</v>
      </c>
      <c r="F151" s="12" t="s">
        <v>2</v>
      </c>
      <c r="G151" s="12" t="s">
        <v>461</v>
      </c>
      <c r="H151" s="12" t="s">
        <v>461</v>
      </c>
      <c r="I151" s="160">
        <v>0</v>
      </c>
      <c r="J151" s="15">
        <v>2439027.7799999998</v>
      </c>
      <c r="K151" s="25" t="s">
        <v>461</v>
      </c>
      <c r="L151" s="285"/>
    </row>
    <row r="152" spans="1:12" s="277" customFormat="1" x14ac:dyDescent="0.25">
      <c r="A152" s="8" t="s">
        <v>0</v>
      </c>
      <c r="B152" s="39" t="s">
        <v>36</v>
      </c>
      <c r="C152" s="18" t="s">
        <v>5</v>
      </c>
      <c r="D152" s="11"/>
      <c r="E152" s="12" t="s">
        <v>759</v>
      </c>
      <c r="F152" s="8" t="s">
        <v>2</v>
      </c>
      <c r="G152" s="12" t="s">
        <v>461</v>
      </c>
      <c r="H152" s="12" t="s">
        <v>461</v>
      </c>
      <c r="I152" s="160">
        <v>0</v>
      </c>
      <c r="J152" s="15">
        <v>279991</v>
      </c>
      <c r="K152" s="25">
        <v>41320</v>
      </c>
      <c r="L152" s="285"/>
    </row>
    <row r="153" spans="1:12" s="277" customFormat="1" x14ac:dyDescent="0.25">
      <c r="A153" s="8" t="s">
        <v>0</v>
      </c>
      <c r="B153" s="39" t="s">
        <v>37</v>
      </c>
      <c r="C153" s="18" t="s">
        <v>4</v>
      </c>
      <c r="D153" s="11" t="s">
        <v>1260</v>
      </c>
      <c r="E153" s="12" t="s">
        <v>758</v>
      </c>
      <c r="F153" s="12" t="s">
        <v>2</v>
      </c>
      <c r="G153" s="12" t="s">
        <v>461</v>
      </c>
      <c r="H153" s="12" t="s">
        <v>461</v>
      </c>
      <c r="I153" s="160">
        <v>0</v>
      </c>
      <c r="J153" s="15">
        <v>451111.11</v>
      </c>
      <c r="K153" s="13" t="s">
        <v>461</v>
      </c>
      <c r="L153" s="285"/>
    </row>
    <row r="154" spans="1:12" s="277" customFormat="1" x14ac:dyDescent="0.25">
      <c r="A154" s="8" t="s">
        <v>0</v>
      </c>
      <c r="B154" s="39" t="s">
        <v>1392</v>
      </c>
      <c r="C154" s="18" t="s">
        <v>5</v>
      </c>
      <c r="D154" s="11">
        <v>92</v>
      </c>
      <c r="E154" s="12" t="s">
        <v>759</v>
      </c>
      <c r="F154" s="8" t="s">
        <v>2</v>
      </c>
      <c r="G154" s="12" t="s">
        <v>461</v>
      </c>
      <c r="H154" s="12" t="s">
        <v>461</v>
      </c>
      <c r="I154" s="160">
        <v>0</v>
      </c>
      <c r="J154" s="15">
        <v>752663.45</v>
      </c>
      <c r="K154" s="25" t="s">
        <v>461</v>
      </c>
      <c r="L154" s="285"/>
    </row>
    <row r="155" spans="1:12" s="277" customFormat="1" x14ac:dyDescent="0.25">
      <c r="A155" s="8" t="s">
        <v>0</v>
      </c>
      <c r="B155" s="39" t="s">
        <v>38</v>
      </c>
      <c r="C155" s="18" t="s">
        <v>4</v>
      </c>
      <c r="D155" s="11"/>
      <c r="E155" s="12" t="s">
        <v>758</v>
      </c>
      <c r="F155" s="8" t="s">
        <v>2</v>
      </c>
      <c r="G155" s="12" t="s">
        <v>461</v>
      </c>
      <c r="H155" s="12" t="s">
        <v>461</v>
      </c>
      <c r="I155" s="160">
        <v>0</v>
      </c>
      <c r="J155" s="15">
        <v>1039677</v>
      </c>
      <c r="K155" s="25">
        <v>41320</v>
      </c>
      <c r="L155" s="285"/>
    </row>
    <row r="156" spans="1:12" s="277" customFormat="1" x14ac:dyDescent="0.25">
      <c r="A156" s="8" t="s">
        <v>0</v>
      </c>
      <c r="B156" s="39" t="s">
        <v>39</v>
      </c>
      <c r="C156" s="18" t="s">
        <v>4</v>
      </c>
      <c r="D156" s="11" t="s">
        <v>1260</v>
      </c>
      <c r="E156" s="12" t="s">
        <v>758</v>
      </c>
      <c r="F156" s="12" t="s">
        <v>2</v>
      </c>
      <c r="G156" s="12" t="s">
        <v>461</v>
      </c>
      <c r="H156" s="12" t="s">
        <v>461</v>
      </c>
      <c r="I156" s="160">
        <v>0</v>
      </c>
      <c r="J156" s="15">
        <v>3354166.67</v>
      </c>
      <c r="K156" s="13" t="s">
        <v>461</v>
      </c>
      <c r="L156" s="285"/>
    </row>
    <row r="157" spans="1:12" s="277" customFormat="1" x14ac:dyDescent="0.25">
      <c r="A157" s="8" t="s">
        <v>0</v>
      </c>
      <c r="B157" s="39" t="s">
        <v>40</v>
      </c>
      <c r="C157" s="18" t="s">
        <v>5</v>
      </c>
      <c r="D157" s="17"/>
      <c r="E157" s="12" t="s">
        <v>758</v>
      </c>
      <c r="F157" s="8" t="s">
        <v>2</v>
      </c>
      <c r="G157" s="12" t="s">
        <v>461</v>
      </c>
      <c r="H157" s="12" t="s">
        <v>461</v>
      </c>
      <c r="I157" s="160">
        <v>0</v>
      </c>
      <c r="J157" s="15">
        <v>2737028.35</v>
      </c>
      <c r="K157" s="25">
        <v>41320</v>
      </c>
      <c r="L157" s="285"/>
    </row>
    <row r="158" spans="1:12" s="277" customFormat="1" x14ac:dyDescent="0.25">
      <c r="A158" s="8" t="s">
        <v>0</v>
      </c>
      <c r="B158" s="39" t="s">
        <v>41</v>
      </c>
      <c r="C158" s="18" t="s">
        <v>5</v>
      </c>
      <c r="D158" s="11">
        <v>65</v>
      </c>
      <c r="E158" s="12" t="s">
        <v>758</v>
      </c>
      <c r="F158" s="12" t="s">
        <v>2</v>
      </c>
      <c r="G158" s="12" t="s">
        <v>461</v>
      </c>
      <c r="H158" s="12" t="s">
        <v>461</v>
      </c>
      <c r="I158" s="160">
        <v>0</v>
      </c>
      <c r="J158" s="15">
        <v>2217469.25</v>
      </c>
      <c r="K158" s="25" t="s">
        <v>461</v>
      </c>
      <c r="L158" s="285"/>
    </row>
    <row r="159" spans="1:12" s="277" customFormat="1" x14ac:dyDescent="0.25">
      <c r="A159" s="8" t="s">
        <v>0</v>
      </c>
      <c r="B159" s="39" t="s">
        <v>42</v>
      </c>
      <c r="C159" s="18" t="s">
        <v>5</v>
      </c>
      <c r="D159" s="11">
        <v>92</v>
      </c>
      <c r="E159" s="12" t="s">
        <v>758</v>
      </c>
      <c r="F159" s="8" t="s">
        <v>2</v>
      </c>
      <c r="G159" s="12" t="s">
        <v>461</v>
      </c>
      <c r="H159" s="12" t="s">
        <v>461</v>
      </c>
      <c r="I159" s="160">
        <v>0</v>
      </c>
      <c r="J159" s="15">
        <v>203773</v>
      </c>
      <c r="K159" s="25" t="s">
        <v>461</v>
      </c>
      <c r="L159" s="285"/>
    </row>
    <row r="160" spans="1:12" s="277" customFormat="1" x14ac:dyDescent="0.25">
      <c r="A160" s="8" t="s">
        <v>0</v>
      </c>
      <c r="B160" s="39" t="s">
        <v>43</v>
      </c>
      <c r="C160" s="18" t="s">
        <v>4</v>
      </c>
      <c r="D160" s="11">
        <v>80</v>
      </c>
      <c r="E160" s="12" t="s">
        <v>758</v>
      </c>
      <c r="F160" s="12" t="s">
        <v>2</v>
      </c>
      <c r="G160" s="12" t="s">
        <v>461</v>
      </c>
      <c r="H160" s="12" t="s">
        <v>461</v>
      </c>
      <c r="I160" s="160">
        <v>0</v>
      </c>
      <c r="J160" s="15">
        <v>20873746.670000002</v>
      </c>
      <c r="K160" s="25" t="s">
        <v>461</v>
      </c>
      <c r="L160" s="285"/>
    </row>
    <row r="161" spans="1:12" s="277" customFormat="1" x14ac:dyDescent="0.25">
      <c r="A161" s="8" t="s">
        <v>0</v>
      </c>
      <c r="B161" s="39" t="s">
        <v>44</v>
      </c>
      <c r="C161" s="18" t="s">
        <v>5</v>
      </c>
      <c r="D161" s="11">
        <v>65</v>
      </c>
      <c r="E161" s="12" t="s">
        <v>758</v>
      </c>
      <c r="F161" s="12" t="s">
        <v>2</v>
      </c>
      <c r="G161" s="12" t="s">
        <v>461</v>
      </c>
      <c r="H161" s="12" t="s">
        <v>461</v>
      </c>
      <c r="I161" s="160">
        <v>0</v>
      </c>
      <c r="J161" s="15">
        <v>107411.42</v>
      </c>
      <c r="K161" s="25" t="s">
        <v>461</v>
      </c>
      <c r="L161" s="285"/>
    </row>
    <row r="162" spans="1:12" s="277" customFormat="1" x14ac:dyDescent="0.25">
      <c r="A162" s="8" t="s">
        <v>0</v>
      </c>
      <c r="B162" s="39" t="s">
        <v>557</v>
      </c>
      <c r="C162" s="18" t="s">
        <v>4</v>
      </c>
      <c r="D162" s="11">
        <v>3</v>
      </c>
      <c r="E162" s="12" t="s">
        <v>758</v>
      </c>
      <c r="F162" s="12" t="s">
        <v>2</v>
      </c>
      <c r="G162" s="12" t="s">
        <v>461</v>
      </c>
      <c r="H162" s="12" t="s">
        <v>461</v>
      </c>
      <c r="I162" s="160">
        <v>0</v>
      </c>
      <c r="J162" s="15">
        <v>1036514.11</v>
      </c>
      <c r="K162" s="13" t="s">
        <v>461</v>
      </c>
      <c r="L162" s="285"/>
    </row>
    <row r="163" spans="1:12" s="277" customFormat="1" x14ac:dyDescent="0.25">
      <c r="A163" s="8" t="s">
        <v>0</v>
      </c>
      <c r="B163" s="39" t="s">
        <v>45</v>
      </c>
      <c r="C163" s="18" t="s">
        <v>4</v>
      </c>
      <c r="D163" s="11" t="s">
        <v>1260</v>
      </c>
      <c r="E163" s="12" t="s">
        <v>758</v>
      </c>
      <c r="F163" s="12" t="s">
        <v>2</v>
      </c>
      <c r="G163" s="12" t="s">
        <v>461</v>
      </c>
      <c r="H163" s="12" t="s">
        <v>461</v>
      </c>
      <c r="I163" s="160">
        <v>0</v>
      </c>
      <c r="J163" s="15">
        <v>92703516.670000002</v>
      </c>
      <c r="K163" s="13" t="s">
        <v>461</v>
      </c>
      <c r="L163" s="285"/>
    </row>
    <row r="164" spans="1:12" s="277" customFormat="1" x14ac:dyDescent="0.25">
      <c r="A164" s="8" t="s">
        <v>0</v>
      </c>
      <c r="B164" s="39" t="s">
        <v>46</v>
      </c>
      <c r="C164" s="18" t="s">
        <v>5</v>
      </c>
      <c r="D164" s="11"/>
      <c r="E164" s="12" t="s">
        <v>758</v>
      </c>
      <c r="F164" s="8" t="s">
        <v>2</v>
      </c>
      <c r="G164" s="12" t="s">
        <v>461</v>
      </c>
      <c r="H164" s="12" t="s">
        <v>461</v>
      </c>
      <c r="I164" s="160">
        <v>0</v>
      </c>
      <c r="J164" s="15">
        <v>173507.5</v>
      </c>
      <c r="K164" s="25">
        <v>41320</v>
      </c>
      <c r="L164" s="285"/>
    </row>
    <row r="165" spans="1:12" s="277" customFormat="1" x14ac:dyDescent="0.25">
      <c r="A165" s="8" t="s">
        <v>0</v>
      </c>
      <c r="B165" s="39" t="s">
        <v>47</v>
      </c>
      <c r="C165" s="18" t="s">
        <v>4</v>
      </c>
      <c r="D165" s="11" t="s">
        <v>1260</v>
      </c>
      <c r="E165" s="12" t="s">
        <v>758</v>
      </c>
      <c r="F165" s="12" t="s">
        <v>2</v>
      </c>
      <c r="G165" s="12" t="s">
        <v>461</v>
      </c>
      <c r="H165" s="12" t="s">
        <v>461</v>
      </c>
      <c r="I165" s="160">
        <v>0</v>
      </c>
      <c r="J165" s="15">
        <v>1129500</v>
      </c>
      <c r="K165" s="25" t="s">
        <v>461</v>
      </c>
      <c r="L165" s="285"/>
    </row>
    <row r="166" spans="1:12" s="277" customFormat="1" x14ac:dyDescent="0.25">
      <c r="A166" s="8" t="s">
        <v>0</v>
      </c>
      <c r="B166" s="39" t="s">
        <v>48</v>
      </c>
      <c r="C166" s="18" t="s">
        <v>5</v>
      </c>
      <c r="D166" s="17" t="s">
        <v>1260</v>
      </c>
      <c r="E166" s="12" t="s">
        <v>759</v>
      </c>
      <c r="F166" s="12" t="s">
        <v>2</v>
      </c>
      <c r="G166" s="12" t="s">
        <v>461</v>
      </c>
      <c r="H166" s="12" t="s">
        <v>461</v>
      </c>
      <c r="I166" s="160">
        <v>0</v>
      </c>
      <c r="J166" s="15">
        <v>963316.65999999992</v>
      </c>
      <c r="K166" s="258" t="s">
        <v>461</v>
      </c>
      <c r="L166" s="285"/>
    </row>
    <row r="167" spans="1:12" s="277" customFormat="1" x14ac:dyDescent="0.25">
      <c r="A167" s="8" t="s">
        <v>0</v>
      </c>
      <c r="B167" s="9" t="s">
        <v>1183</v>
      </c>
      <c r="C167" s="45" t="s">
        <v>561</v>
      </c>
      <c r="D167" s="17" t="s">
        <v>1269</v>
      </c>
      <c r="E167" s="12" t="s">
        <v>758</v>
      </c>
      <c r="F167" s="12" t="s">
        <v>2</v>
      </c>
      <c r="G167" s="12" t="s">
        <v>461</v>
      </c>
      <c r="H167" s="12" t="s">
        <v>461</v>
      </c>
      <c r="I167" s="160">
        <v>0</v>
      </c>
      <c r="J167" s="15">
        <v>407478.20999999996</v>
      </c>
      <c r="K167" s="25" t="s">
        <v>461</v>
      </c>
      <c r="L167" s="285"/>
    </row>
    <row r="168" spans="1:12" s="277" customFormat="1" x14ac:dyDescent="0.25">
      <c r="A168" s="8" t="s">
        <v>0</v>
      </c>
      <c r="B168" s="39" t="s">
        <v>49</v>
      </c>
      <c r="C168" s="18" t="s">
        <v>4</v>
      </c>
      <c r="D168" s="11" t="s">
        <v>1260</v>
      </c>
      <c r="E168" s="12" t="s">
        <v>758</v>
      </c>
      <c r="F168" s="12" t="s">
        <v>2</v>
      </c>
      <c r="G168" s="12" t="s">
        <v>461</v>
      </c>
      <c r="H168" s="12" t="s">
        <v>461</v>
      </c>
      <c r="I168" s="160">
        <v>0</v>
      </c>
      <c r="J168" s="15">
        <v>877777.78</v>
      </c>
      <c r="K168" s="13" t="s">
        <v>461</v>
      </c>
      <c r="L168" s="285"/>
    </row>
    <row r="169" spans="1:12" s="277" customFormat="1" x14ac:dyDescent="0.25">
      <c r="A169" s="8" t="s">
        <v>0</v>
      </c>
      <c r="B169" s="39" t="s">
        <v>50</v>
      </c>
      <c r="C169" s="18" t="s">
        <v>5</v>
      </c>
      <c r="D169" s="17">
        <v>65</v>
      </c>
      <c r="E169" s="12" t="s">
        <v>758</v>
      </c>
      <c r="F169" s="12" t="s">
        <v>2</v>
      </c>
      <c r="G169" s="12" t="s">
        <v>461</v>
      </c>
      <c r="H169" s="12" t="s">
        <v>461</v>
      </c>
      <c r="I169" s="160">
        <v>0</v>
      </c>
      <c r="J169" s="15">
        <v>137062.5</v>
      </c>
      <c r="K169" s="25" t="s">
        <v>461</v>
      </c>
      <c r="L169" s="285"/>
    </row>
    <row r="170" spans="1:12" s="277" customFormat="1" x14ac:dyDescent="0.25">
      <c r="A170" s="8" t="s">
        <v>0</v>
      </c>
      <c r="B170" s="39" t="s">
        <v>51</v>
      </c>
      <c r="C170" s="18" t="s">
        <v>5</v>
      </c>
      <c r="D170" s="11">
        <v>65</v>
      </c>
      <c r="E170" s="12" t="s">
        <v>758</v>
      </c>
      <c r="F170" s="12" t="s">
        <v>2</v>
      </c>
      <c r="G170" s="12" t="s">
        <v>461</v>
      </c>
      <c r="H170" s="12" t="s">
        <v>461</v>
      </c>
      <c r="I170" s="160">
        <v>0</v>
      </c>
      <c r="J170" s="15">
        <v>342022.67</v>
      </c>
      <c r="K170" s="25" t="s">
        <v>461</v>
      </c>
      <c r="L170" s="285"/>
    </row>
    <row r="171" spans="1:12" s="285" customFormat="1" x14ac:dyDescent="0.25">
      <c r="A171" s="8" t="s">
        <v>0</v>
      </c>
      <c r="B171" s="39" t="s">
        <v>632</v>
      </c>
      <c r="C171" s="45" t="s">
        <v>560</v>
      </c>
      <c r="D171" s="26"/>
      <c r="E171" s="8" t="s">
        <v>661</v>
      </c>
      <c r="F171" s="30" t="s">
        <v>2</v>
      </c>
      <c r="G171" s="12" t="s">
        <v>461</v>
      </c>
      <c r="H171" s="12" t="s">
        <v>461</v>
      </c>
      <c r="I171" s="160">
        <v>0</v>
      </c>
      <c r="J171" s="15">
        <v>1776746.88</v>
      </c>
      <c r="K171" s="25">
        <v>41320</v>
      </c>
    </row>
    <row r="172" spans="1:12" s="277" customFormat="1" x14ac:dyDescent="0.25">
      <c r="A172" s="8" t="s">
        <v>0</v>
      </c>
      <c r="B172" s="39" t="s">
        <v>52</v>
      </c>
      <c r="C172" s="18" t="s">
        <v>5</v>
      </c>
      <c r="D172" s="11">
        <v>92</v>
      </c>
      <c r="E172" s="12" t="s">
        <v>758</v>
      </c>
      <c r="F172" s="8" t="s">
        <v>2</v>
      </c>
      <c r="G172" s="12" t="s">
        <v>461</v>
      </c>
      <c r="H172" s="12" t="s">
        <v>461</v>
      </c>
      <c r="I172" s="160">
        <v>0</v>
      </c>
      <c r="J172" s="15">
        <v>1980211.1099999999</v>
      </c>
      <c r="K172" s="25" t="s">
        <v>461</v>
      </c>
      <c r="L172" s="285"/>
    </row>
    <row r="173" spans="1:12" s="277" customFormat="1" x14ac:dyDescent="0.25">
      <c r="A173" s="8" t="s">
        <v>0</v>
      </c>
      <c r="B173" s="46" t="s">
        <v>563</v>
      </c>
      <c r="C173" s="211" t="s">
        <v>561</v>
      </c>
      <c r="D173" s="17" t="s">
        <v>1260</v>
      </c>
      <c r="E173" s="12" t="s">
        <v>758</v>
      </c>
      <c r="F173" s="8" t="s">
        <v>2</v>
      </c>
      <c r="G173" s="12" t="s">
        <v>461</v>
      </c>
      <c r="H173" s="12" t="s">
        <v>461</v>
      </c>
      <c r="I173" s="160">
        <v>0</v>
      </c>
      <c r="J173" s="15">
        <v>877326.35</v>
      </c>
      <c r="K173" s="25" t="s">
        <v>461</v>
      </c>
      <c r="L173" s="285"/>
    </row>
    <row r="174" spans="1:12" s="277" customFormat="1" x14ac:dyDescent="0.25">
      <c r="A174" s="8" t="s">
        <v>0</v>
      </c>
      <c r="B174" s="9" t="s">
        <v>945</v>
      </c>
      <c r="C174" s="18" t="s">
        <v>5</v>
      </c>
      <c r="D174" s="11">
        <v>92</v>
      </c>
      <c r="E174" s="12" t="s">
        <v>758</v>
      </c>
      <c r="F174" s="8" t="s">
        <v>2</v>
      </c>
      <c r="G174" s="12" t="s">
        <v>461</v>
      </c>
      <c r="H174" s="12" t="s">
        <v>461</v>
      </c>
      <c r="I174" s="160">
        <v>0</v>
      </c>
      <c r="J174" s="15">
        <v>2427244</v>
      </c>
      <c r="K174" s="25" t="s">
        <v>461</v>
      </c>
      <c r="L174" s="285"/>
    </row>
    <row r="175" spans="1:12" s="277" customFormat="1" x14ac:dyDescent="0.25">
      <c r="A175" s="8" t="s">
        <v>0</v>
      </c>
      <c r="B175" s="39" t="s">
        <v>53</v>
      </c>
      <c r="C175" s="18" t="s">
        <v>5</v>
      </c>
      <c r="D175" s="17" t="s">
        <v>915</v>
      </c>
      <c r="E175" s="12" t="s">
        <v>758</v>
      </c>
      <c r="F175" s="12" t="s">
        <v>2</v>
      </c>
      <c r="G175" s="12" t="s">
        <v>461</v>
      </c>
      <c r="H175" s="12" t="s">
        <v>461</v>
      </c>
      <c r="I175" s="160">
        <v>0</v>
      </c>
      <c r="J175" s="15">
        <v>529105</v>
      </c>
      <c r="K175" s="12" t="s">
        <v>461</v>
      </c>
      <c r="L175" s="285"/>
    </row>
    <row r="176" spans="1:12" s="277" customFormat="1" x14ac:dyDescent="0.25">
      <c r="A176" s="8" t="s">
        <v>0</v>
      </c>
      <c r="B176" s="39" t="s">
        <v>54</v>
      </c>
      <c r="C176" s="18" t="s">
        <v>4</v>
      </c>
      <c r="D176" s="11"/>
      <c r="E176" s="12" t="s">
        <v>758</v>
      </c>
      <c r="F176" s="8" t="s">
        <v>2</v>
      </c>
      <c r="G176" s="12" t="s">
        <v>461</v>
      </c>
      <c r="H176" s="12" t="s">
        <v>461</v>
      </c>
      <c r="I176" s="160">
        <v>0</v>
      </c>
      <c r="J176" s="15">
        <v>211458.33</v>
      </c>
      <c r="K176" s="25">
        <v>41320</v>
      </c>
      <c r="L176" s="285"/>
    </row>
    <row r="177" spans="1:12" s="277" customFormat="1" x14ac:dyDescent="0.25">
      <c r="A177" s="8" t="s">
        <v>0</v>
      </c>
      <c r="B177" s="39" t="s">
        <v>55</v>
      </c>
      <c r="C177" s="18" t="s">
        <v>5</v>
      </c>
      <c r="D177" s="11"/>
      <c r="E177" s="12" t="s">
        <v>758</v>
      </c>
      <c r="F177" s="8" t="s">
        <v>2</v>
      </c>
      <c r="G177" s="12" t="s">
        <v>461</v>
      </c>
      <c r="H177" s="12" t="s">
        <v>461</v>
      </c>
      <c r="I177" s="160">
        <v>0</v>
      </c>
      <c r="J177" s="15">
        <v>440542</v>
      </c>
      <c r="K177" s="25">
        <v>41320</v>
      </c>
      <c r="L177" s="285"/>
    </row>
    <row r="178" spans="1:12" s="277" customFormat="1" x14ac:dyDescent="0.25">
      <c r="A178" s="8" t="s">
        <v>0</v>
      </c>
      <c r="B178" s="39" t="s">
        <v>56</v>
      </c>
      <c r="C178" s="18" t="s">
        <v>4</v>
      </c>
      <c r="D178" s="280">
        <v>80</v>
      </c>
      <c r="E178" s="12" t="s">
        <v>758</v>
      </c>
      <c r="F178" s="8" t="s">
        <v>2</v>
      </c>
      <c r="G178" s="12" t="s">
        <v>461</v>
      </c>
      <c r="H178" s="12" t="s">
        <v>461</v>
      </c>
      <c r="I178" s="160">
        <v>0</v>
      </c>
      <c r="J178" s="15">
        <v>5835061.0700000003</v>
      </c>
      <c r="K178" s="258" t="s">
        <v>461</v>
      </c>
      <c r="L178" s="285"/>
    </row>
    <row r="179" spans="1:12" s="277" customFormat="1" x14ac:dyDescent="0.25">
      <c r="A179" s="8" t="s">
        <v>0</v>
      </c>
      <c r="B179" s="39" t="s">
        <v>57</v>
      </c>
      <c r="C179" s="18" t="s">
        <v>5</v>
      </c>
      <c r="D179" s="11">
        <v>65</v>
      </c>
      <c r="E179" s="12" t="s">
        <v>758</v>
      </c>
      <c r="F179" s="12" t="s">
        <v>2</v>
      </c>
      <c r="G179" s="12" t="s">
        <v>461</v>
      </c>
      <c r="H179" s="12" t="s">
        <v>461</v>
      </c>
      <c r="I179" s="160">
        <v>0</v>
      </c>
      <c r="J179" s="15">
        <v>636920.75</v>
      </c>
      <c r="K179" s="25" t="s">
        <v>461</v>
      </c>
      <c r="L179" s="285"/>
    </row>
    <row r="180" spans="1:12" s="277" customFormat="1" x14ac:dyDescent="0.25">
      <c r="A180" s="8" t="s">
        <v>0</v>
      </c>
      <c r="B180" s="39" t="s">
        <v>58</v>
      </c>
      <c r="C180" s="18" t="s">
        <v>5</v>
      </c>
      <c r="D180" s="11"/>
      <c r="E180" s="12" t="s">
        <v>758</v>
      </c>
      <c r="F180" s="8" t="s">
        <v>2</v>
      </c>
      <c r="G180" s="12" t="s">
        <v>461</v>
      </c>
      <c r="H180" s="12" t="s">
        <v>461</v>
      </c>
      <c r="I180" s="160">
        <v>0</v>
      </c>
      <c r="J180" s="15">
        <v>909542.39</v>
      </c>
      <c r="K180" s="25">
        <v>41320</v>
      </c>
      <c r="L180" s="285"/>
    </row>
    <row r="181" spans="1:12" s="277" customFormat="1" x14ac:dyDescent="0.25">
      <c r="A181" s="8" t="s">
        <v>0</v>
      </c>
      <c r="B181" s="39" t="s">
        <v>59</v>
      </c>
      <c r="C181" s="18" t="s">
        <v>5</v>
      </c>
      <c r="D181" s="11">
        <v>65</v>
      </c>
      <c r="E181" s="12" t="s">
        <v>758</v>
      </c>
      <c r="F181" s="12" t="s">
        <v>2</v>
      </c>
      <c r="G181" s="12" t="s">
        <v>461</v>
      </c>
      <c r="H181" s="12" t="s">
        <v>461</v>
      </c>
      <c r="I181" s="160">
        <v>0</v>
      </c>
      <c r="J181" s="15">
        <v>1283777.44</v>
      </c>
      <c r="K181" s="25" t="s">
        <v>461</v>
      </c>
      <c r="L181" s="285"/>
    </row>
    <row r="182" spans="1:12" s="285" customFormat="1" x14ac:dyDescent="0.25">
      <c r="A182" s="8" t="s">
        <v>0</v>
      </c>
      <c r="B182" s="21" t="s">
        <v>590</v>
      </c>
      <c r="C182" s="44" t="s">
        <v>560</v>
      </c>
      <c r="D182" s="10"/>
      <c r="E182" s="8" t="s">
        <v>661</v>
      </c>
      <c r="F182" s="30" t="s">
        <v>2</v>
      </c>
      <c r="G182" s="12" t="s">
        <v>461</v>
      </c>
      <c r="H182" s="12" t="s">
        <v>461</v>
      </c>
      <c r="I182" s="160">
        <v>0</v>
      </c>
      <c r="J182" s="15">
        <v>468624</v>
      </c>
      <c r="K182" s="25">
        <v>41320</v>
      </c>
    </row>
    <row r="183" spans="1:12" s="277" customFormat="1" x14ac:dyDescent="0.25">
      <c r="A183" s="8" t="s">
        <v>0</v>
      </c>
      <c r="B183" s="39" t="s">
        <v>60</v>
      </c>
      <c r="C183" s="18" t="s">
        <v>4</v>
      </c>
      <c r="D183" s="11" t="s">
        <v>1260</v>
      </c>
      <c r="E183" s="12" t="s">
        <v>758</v>
      </c>
      <c r="F183" s="12" t="s">
        <v>2</v>
      </c>
      <c r="G183" s="12" t="s">
        <v>461</v>
      </c>
      <c r="H183" s="12" t="s">
        <v>461</v>
      </c>
      <c r="I183" s="160">
        <v>0</v>
      </c>
      <c r="J183" s="15">
        <v>11022222.229999999</v>
      </c>
      <c r="K183" s="25" t="s">
        <v>461</v>
      </c>
      <c r="L183" s="285"/>
    </row>
    <row r="184" spans="1:12" s="277" customFormat="1" x14ac:dyDescent="0.25">
      <c r="A184" s="8" t="s">
        <v>0</v>
      </c>
      <c r="B184" s="39" t="s">
        <v>61</v>
      </c>
      <c r="C184" s="18" t="s">
        <v>4</v>
      </c>
      <c r="D184" s="11" t="s">
        <v>1260</v>
      </c>
      <c r="E184" s="12" t="s">
        <v>758</v>
      </c>
      <c r="F184" s="12" t="s">
        <v>2</v>
      </c>
      <c r="G184" s="12" t="s">
        <v>461</v>
      </c>
      <c r="H184" s="12" t="s">
        <v>461</v>
      </c>
      <c r="I184" s="160">
        <v>0</v>
      </c>
      <c r="J184" s="15">
        <v>2613582.2199999997</v>
      </c>
      <c r="K184" s="25" t="s">
        <v>461</v>
      </c>
      <c r="L184" s="285"/>
    </row>
    <row r="185" spans="1:12" s="277" customFormat="1" x14ac:dyDescent="0.25">
      <c r="A185" s="8" t="s">
        <v>0</v>
      </c>
      <c r="B185" s="39" t="s">
        <v>62</v>
      </c>
      <c r="C185" s="18" t="s">
        <v>5</v>
      </c>
      <c r="D185" s="11"/>
      <c r="E185" s="12" t="s">
        <v>758</v>
      </c>
      <c r="F185" s="8" t="s">
        <v>2</v>
      </c>
      <c r="G185" s="12" t="s">
        <v>461</v>
      </c>
      <c r="H185" s="12" t="s">
        <v>461</v>
      </c>
      <c r="I185" s="160">
        <v>0</v>
      </c>
      <c r="J185" s="15">
        <v>2393155.56</v>
      </c>
      <c r="K185" s="25">
        <v>41320</v>
      </c>
      <c r="L185" s="285"/>
    </row>
    <row r="186" spans="1:12" s="277" customFormat="1" x14ac:dyDescent="0.25">
      <c r="A186" s="8" t="s">
        <v>0</v>
      </c>
      <c r="B186" s="9" t="s">
        <v>1037</v>
      </c>
      <c r="C186" s="19" t="s">
        <v>83</v>
      </c>
      <c r="D186" s="11">
        <v>78</v>
      </c>
      <c r="E186" s="12" t="s">
        <v>758</v>
      </c>
      <c r="F186" s="8" t="s">
        <v>2</v>
      </c>
      <c r="G186" s="12" t="s">
        <v>461</v>
      </c>
      <c r="H186" s="12" t="s">
        <v>461</v>
      </c>
      <c r="I186" s="160">
        <v>0</v>
      </c>
      <c r="J186" s="15">
        <v>810416.66999999993</v>
      </c>
      <c r="K186" s="25">
        <v>41320</v>
      </c>
      <c r="L186" s="285"/>
    </row>
    <row r="187" spans="1:12" s="285" customFormat="1" x14ac:dyDescent="0.25">
      <c r="A187" s="8" t="s">
        <v>0</v>
      </c>
      <c r="B187" s="21" t="s">
        <v>591</v>
      </c>
      <c r="C187" s="44" t="s">
        <v>560</v>
      </c>
      <c r="D187" s="275"/>
      <c r="E187" s="8" t="s">
        <v>661</v>
      </c>
      <c r="F187" s="30" t="s">
        <v>2</v>
      </c>
      <c r="G187" s="12" t="s">
        <v>461</v>
      </c>
      <c r="H187" s="12" t="s">
        <v>461</v>
      </c>
      <c r="I187" s="160">
        <v>0</v>
      </c>
      <c r="J187" s="15">
        <v>402720</v>
      </c>
      <c r="K187" s="25">
        <v>41320</v>
      </c>
    </row>
    <row r="188" spans="1:12" s="277" customFormat="1" x14ac:dyDescent="0.25">
      <c r="A188" s="8" t="s">
        <v>0</v>
      </c>
      <c r="B188" s="9" t="s">
        <v>648</v>
      </c>
      <c r="C188" s="18" t="s">
        <v>5</v>
      </c>
      <c r="D188" s="11">
        <v>65</v>
      </c>
      <c r="E188" s="12" t="s">
        <v>758</v>
      </c>
      <c r="F188" s="12" t="s">
        <v>2</v>
      </c>
      <c r="G188" s="12" t="s">
        <v>461</v>
      </c>
      <c r="H188" s="12" t="s">
        <v>461</v>
      </c>
      <c r="I188" s="160">
        <v>0</v>
      </c>
      <c r="J188" s="15">
        <v>1295586.01</v>
      </c>
      <c r="K188" s="25" t="s">
        <v>461</v>
      </c>
      <c r="L188" s="285"/>
    </row>
    <row r="189" spans="1:12" s="277" customFormat="1" x14ac:dyDescent="0.25">
      <c r="A189" s="281" t="s">
        <v>0</v>
      </c>
      <c r="B189" s="245" t="s">
        <v>63</v>
      </c>
      <c r="C189" s="246" t="s">
        <v>5</v>
      </c>
      <c r="D189" s="280"/>
      <c r="E189" s="278" t="s">
        <v>758</v>
      </c>
      <c r="F189" s="8" t="s">
        <v>2</v>
      </c>
      <c r="G189" s="12" t="s">
        <v>461</v>
      </c>
      <c r="H189" s="13">
        <v>41283</v>
      </c>
      <c r="I189" s="160">
        <v>18750</v>
      </c>
      <c r="J189" s="15">
        <v>2784354.67</v>
      </c>
      <c r="K189" s="258">
        <v>41320</v>
      </c>
      <c r="L189" s="285"/>
    </row>
    <row r="190" spans="1:12" s="277" customFormat="1" x14ac:dyDescent="0.25">
      <c r="A190" s="8" t="s">
        <v>0</v>
      </c>
      <c r="B190" s="39" t="s">
        <v>64</v>
      </c>
      <c r="C190" s="18" t="s">
        <v>5</v>
      </c>
      <c r="D190" s="11" t="s">
        <v>1260</v>
      </c>
      <c r="E190" s="12" t="s">
        <v>758</v>
      </c>
      <c r="F190" s="12" t="s">
        <v>2</v>
      </c>
      <c r="G190" s="12" t="s">
        <v>461</v>
      </c>
      <c r="H190" s="12" t="s">
        <v>461</v>
      </c>
      <c r="I190" s="160">
        <v>0</v>
      </c>
      <c r="J190" s="15">
        <v>87123.53</v>
      </c>
      <c r="K190" s="25" t="s">
        <v>461</v>
      </c>
      <c r="L190" s="285"/>
    </row>
    <row r="191" spans="1:12" s="277" customFormat="1" x14ac:dyDescent="0.25">
      <c r="A191" s="8" t="s">
        <v>0</v>
      </c>
      <c r="B191" s="39" t="s">
        <v>65</v>
      </c>
      <c r="C191" s="18" t="s">
        <v>4</v>
      </c>
      <c r="D191" s="17" t="s">
        <v>1260</v>
      </c>
      <c r="E191" s="12" t="s">
        <v>758</v>
      </c>
      <c r="F191" s="12" t="s">
        <v>2</v>
      </c>
      <c r="G191" s="12" t="s">
        <v>461</v>
      </c>
      <c r="H191" s="12" t="s">
        <v>461</v>
      </c>
      <c r="I191" s="160">
        <v>0</v>
      </c>
      <c r="J191" s="15">
        <v>2902777.78</v>
      </c>
      <c r="K191" s="25" t="s">
        <v>461</v>
      </c>
      <c r="L191" s="285"/>
    </row>
    <row r="192" spans="1:12" s="277" customFormat="1" x14ac:dyDescent="0.25">
      <c r="A192" s="8" t="s">
        <v>0</v>
      </c>
      <c r="B192" s="39" t="s">
        <v>66</v>
      </c>
      <c r="C192" s="18" t="s">
        <v>5</v>
      </c>
      <c r="D192" s="11">
        <v>65</v>
      </c>
      <c r="E192" s="12" t="s">
        <v>758</v>
      </c>
      <c r="F192" s="12" t="s">
        <v>2</v>
      </c>
      <c r="G192" s="12" t="s">
        <v>461</v>
      </c>
      <c r="H192" s="12" t="s">
        <v>461</v>
      </c>
      <c r="I192" s="160">
        <v>0</v>
      </c>
      <c r="J192" s="15">
        <v>1029333.8</v>
      </c>
      <c r="K192" s="25" t="s">
        <v>461</v>
      </c>
      <c r="L192" s="285"/>
    </row>
    <row r="193" spans="1:12" s="277" customFormat="1" x14ac:dyDescent="0.25">
      <c r="A193" s="8" t="s">
        <v>0</v>
      </c>
      <c r="B193" s="39" t="s">
        <v>67</v>
      </c>
      <c r="C193" s="18" t="s">
        <v>4</v>
      </c>
      <c r="D193" s="11">
        <v>51</v>
      </c>
      <c r="E193" s="12" t="s">
        <v>758</v>
      </c>
      <c r="F193" s="12" t="s">
        <v>2</v>
      </c>
      <c r="G193" s="12" t="s">
        <v>461</v>
      </c>
      <c r="H193" s="12" t="s">
        <v>461</v>
      </c>
      <c r="I193" s="160">
        <v>0</v>
      </c>
      <c r="J193" s="15">
        <v>3984062.5</v>
      </c>
      <c r="K193" s="25" t="s">
        <v>461</v>
      </c>
      <c r="L193" s="285"/>
    </row>
    <row r="194" spans="1:12" s="277" customFormat="1" x14ac:dyDescent="0.25">
      <c r="A194" s="8" t="s">
        <v>0</v>
      </c>
      <c r="B194" s="39" t="s">
        <v>68</v>
      </c>
      <c r="C194" s="18" t="s">
        <v>5</v>
      </c>
      <c r="D194" s="11">
        <v>65</v>
      </c>
      <c r="E194" s="12" t="s">
        <v>759</v>
      </c>
      <c r="F194" s="12" t="s">
        <v>2</v>
      </c>
      <c r="G194" s="12" t="s">
        <v>461</v>
      </c>
      <c r="H194" s="12" t="s">
        <v>461</v>
      </c>
      <c r="I194" s="160">
        <v>0</v>
      </c>
      <c r="J194" s="15">
        <v>555899.67000000004</v>
      </c>
      <c r="K194" s="25" t="s">
        <v>461</v>
      </c>
      <c r="L194" s="285"/>
    </row>
    <row r="195" spans="1:12" s="277" customFormat="1" x14ac:dyDescent="0.25">
      <c r="A195" s="8" t="s">
        <v>0</v>
      </c>
      <c r="B195" s="39" t="s">
        <v>69</v>
      </c>
      <c r="C195" s="18" t="s">
        <v>5</v>
      </c>
      <c r="D195" s="11" t="s">
        <v>1260</v>
      </c>
      <c r="E195" s="12" t="s">
        <v>758</v>
      </c>
      <c r="F195" s="12" t="s">
        <v>2</v>
      </c>
      <c r="G195" s="12" t="s">
        <v>461</v>
      </c>
      <c r="H195" s="12" t="s">
        <v>461</v>
      </c>
      <c r="I195" s="160">
        <v>0</v>
      </c>
      <c r="J195" s="15">
        <v>337219.25</v>
      </c>
      <c r="K195" s="25" t="s">
        <v>461</v>
      </c>
      <c r="L195" s="285"/>
    </row>
    <row r="196" spans="1:12" s="277" customFormat="1" x14ac:dyDescent="0.25">
      <c r="A196" s="8" t="s">
        <v>0</v>
      </c>
      <c r="B196" s="39" t="s">
        <v>70</v>
      </c>
      <c r="C196" s="18" t="s">
        <v>5</v>
      </c>
      <c r="D196" s="11"/>
      <c r="E196" s="12" t="s">
        <v>758</v>
      </c>
      <c r="F196" s="8" t="s">
        <v>2</v>
      </c>
      <c r="G196" s="12" t="s">
        <v>461</v>
      </c>
      <c r="H196" s="12" t="s">
        <v>461</v>
      </c>
      <c r="I196" s="160">
        <v>0</v>
      </c>
      <c r="J196" s="15">
        <v>215442.61</v>
      </c>
      <c r="K196" s="25">
        <v>41320</v>
      </c>
      <c r="L196" s="285"/>
    </row>
    <row r="197" spans="1:12" s="277" customFormat="1" x14ac:dyDescent="0.25">
      <c r="A197" s="8" t="s">
        <v>0</v>
      </c>
      <c r="B197" s="39" t="s">
        <v>71</v>
      </c>
      <c r="C197" s="18" t="s">
        <v>5</v>
      </c>
      <c r="D197" s="11"/>
      <c r="E197" s="12" t="s">
        <v>758</v>
      </c>
      <c r="F197" s="8" t="s">
        <v>2</v>
      </c>
      <c r="G197" s="12" t="s">
        <v>461</v>
      </c>
      <c r="H197" s="12" t="s">
        <v>461</v>
      </c>
      <c r="I197" s="160">
        <v>0</v>
      </c>
      <c r="J197" s="15">
        <v>396163.67</v>
      </c>
      <c r="K197" s="258">
        <v>41320</v>
      </c>
      <c r="L197" s="285"/>
    </row>
    <row r="198" spans="1:12" s="277" customFormat="1" x14ac:dyDescent="0.25">
      <c r="A198" s="8" t="s">
        <v>0</v>
      </c>
      <c r="B198" s="39" t="s">
        <v>72</v>
      </c>
      <c r="C198" s="18" t="s">
        <v>5</v>
      </c>
      <c r="D198" s="11" t="s">
        <v>1260</v>
      </c>
      <c r="E198" s="12" t="s">
        <v>758</v>
      </c>
      <c r="F198" s="12" t="s">
        <v>2</v>
      </c>
      <c r="G198" s="12" t="s">
        <v>461</v>
      </c>
      <c r="H198" s="12" t="s">
        <v>461</v>
      </c>
      <c r="I198" s="160">
        <v>0</v>
      </c>
      <c r="J198" s="15">
        <v>517281.19</v>
      </c>
      <c r="K198" s="25" t="s">
        <v>461</v>
      </c>
      <c r="L198" s="285"/>
    </row>
    <row r="199" spans="1:12" s="277" customFormat="1" x14ac:dyDescent="0.25">
      <c r="A199" s="8" t="s">
        <v>0</v>
      </c>
      <c r="B199" s="39" t="s">
        <v>73</v>
      </c>
      <c r="C199" s="18" t="s">
        <v>4</v>
      </c>
      <c r="D199" s="17">
        <v>46</v>
      </c>
      <c r="E199" s="12" t="s">
        <v>758</v>
      </c>
      <c r="F199" s="12" t="s">
        <v>2</v>
      </c>
      <c r="G199" s="12" t="s">
        <v>461</v>
      </c>
      <c r="H199" s="12" t="s">
        <v>461</v>
      </c>
      <c r="I199" s="160">
        <v>0</v>
      </c>
      <c r="J199" s="15">
        <v>3973104.25</v>
      </c>
      <c r="K199" s="25" t="s">
        <v>461</v>
      </c>
      <c r="L199" s="285"/>
    </row>
    <row r="200" spans="1:12" s="277" customFormat="1" x14ac:dyDescent="0.25">
      <c r="A200" s="8" t="s">
        <v>0</v>
      </c>
      <c r="B200" s="39" t="s">
        <v>74</v>
      </c>
      <c r="C200" s="18" t="s">
        <v>5</v>
      </c>
      <c r="D200" s="11"/>
      <c r="E200" s="12" t="s">
        <v>758</v>
      </c>
      <c r="F200" s="8" t="s">
        <v>2</v>
      </c>
      <c r="G200" s="12" t="s">
        <v>461</v>
      </c>
      <c r="H200" s="12" t="s">
        <v>461</v>
      </c>
      <c r="I200" s="160">
        <v>0</v>
      </c>
      <c r="J200" s="15">
        <v>304973</v>
      </c>
      <c r="K200" s="258">
        <v>41320</v>
      </c>
      <c r="L200" s="285"/>
    </row>
    <row r="201" spans="1:12" s="277" customFormat="1" x14ac:dyDescent="0.25">
      <c r="A201" s="8" t="s">
        <v>0</v>
      </c>
      <c r="B201" s="39" t="s">
        <v>75</v>
      </c>
      <c r="C201" s="18" t="s">
        <v>4</v>
      </c>
      <c r="D201" s="11" t="s">
        <v>1260</v>
      </c>
      <c r="E201" s="12" t="s">
        <v>758</v>
      </c>
      <c r="F201" s="12" t="s">
        <v>2</v>
      </c>
      <c r="G201" s="12" t="s">
        <v>461</v>
      </c>
      <c r="H201" s="12" t="s">
        <v>461</v>
      </c>
      <c r="I201" s="160">
        <v>0</v>
      </c>
      <c r="J201" s="15">
        <v>105174637.58</v>
      </c>
      <c r="K201" s="13" t="s">
        <v>461</v>
      </c>
      <c r="L201" s="285"/>
    </row>
    <row r="202" spans="1:12" s="277" customFormat="1" x14ac:dyDescent="0.25">
      <c r="A202" s="8" t="s">
        <v>0</v>
      </c>
      <c r="B202" s="39" t="s">
        <v>76</v>
      </c>
      <c r="C202" s="18" t="s">
        <v>5</v>
      </c>
      <c r="D202" s="11">
        <v>92</v>
      </c>
      <c r="E202" s="12" t="s">
        <v>758</v>
      </c>
      <c r="F202" s="8" t="s">
        <v>2</v>
      </c>
      <c r="G202" s="12" t="s">
        <v>461</v>
      </c>
      <c r="H202" s="12" t="s">
        <v>461</v>
      </c>
      <c r="I202" s="160">
        <v>0</v>
      </c>
      <c r="J202" s="15">
        <v>845368.89</v>
      </c>
      <c r="K202" s="25" t="s">
        <v>461</v>
      </c>
      <c r="L202" s="285"/>
    </row>
    <row r="203" spans="1:12" s="285" customFormat="1" x14ac:dyDescent="0.25">
      <c r="A203" s="8" t="s">
        <v>0</v>
      </c>
      <c r="B203" s="9" t="s">
        <v>697</v>
      </c>
      <c r="C203" s="161" t="s">
        <v>560</v>
      </c>
      <c r="D203" s="26">
        <v>66</v>
      </c>
      <c r="E203" s="8" t="s">
        <v>661</v>
      </c>
      <c r="F203" s="12" t="s">
        <v>2</v>
      </c>
      <c r="G203" s="12" t="s">
        <v>461</v>
      </c>
      <c r="H203" s="12" t="s">
        <v>461</v>
      </c>
      <c r="I203" s="160">
        <v>0</v>
      </c>
      <c r="J203" s="15">
        <v>983479.55999999994</v>
      </c>
      <c r="K203" s="25" t="s">
        <v>461</v>
      </c>
    </row>
    <row r="204" spans="1:12" s="277" customFormat="1" x14ac:dyDescent="0.25">
      <c r="A204" s="8" t="s">
        <v>0</v>
      </c>
      <c r="B204" s="39" t="s">
        <v>77</v>
      </c>
      <c r="C204" s="18" t="s">
        <v>4</v>
      </c>
      <c r="D204" s="17" t="s">
        <v>1396</v>
      </c>
      <c r="E204" s="12" t="s">
        <v>758</v>
      </c>
      <c r="F204" s="8" t="s">
        <v>2</v>
      </c>
      <c r="G204" s="12" t="s">
        <v>461</v>
      </c>
      <c r="H204" s="13">
        <v>41305</v>
      </c>
      <c r="I204" s="160">
        <v>821139.55</v>
      </c>
      <c r="J204" s="15">
        <v>3118764.9400000004</v>
      </c>
      <c r="K204" s="258">
        <v>41320</v>
      </c>
      <c r="L204" s="285"/>
    </row>
    <row r="205" spans="1:12" s="277" customFormat="1" x14ac:dyDescent="0.25">
      <c r="A205" s="281" t="s">
        <v>0</v>
      </c>
      <c r="B205" s="245" t="s">
        <v>78</v>
      </c>
      <c r="C205" s="246" t="s">
        <v>4</v>
      </c>
      <c r="D205" s="280">
        <v>92</v>
      </c>
      <c r="E205" s="278" t="s">
        <v>759</v>
      </c>
      <c r="F205" s="281" t="s">
        <v>2</v>
      </c>
      <c r="G205" s="12" t="s">
        <v>461</v>
      </c>
      <c r="H205" s="12" t="s">
        <v>461</v>
      </c>
      <c r="I205" s="160">
        <v>0</v>
      </c>
      <c r="J205" s="15">
        <v>613320</v>
      </c>
      <c r="K205" s="258" t="s">
        <v>461</v>
      </c>
      <c r="L205" s="285"/>
    </row>
    <row r="206" spans="1:12" s="277" customFormat="1" x14ac:dyDescent="0.25">
      <c r="A206" s="8" t="s">
        <v>0</v>
      </c>
      <c r="B206" s="39" t="s">
        <v>79</v>
      </c>
      <c r="C206" s="18" t="s">
        <v>4</v>
      </c>
      <c r="D206" s="11"/>
      <c r="E206" s="12" t="s">
        <v>758</v>
      </c>
      <c r="F206" s="8" t="s">
        <v>2</v>
      </c>
      <c r="G206" s="12" t="s">
        <v>461</v>
      </c>
      <c r="H206" s="12" t="s">
        <v>461</v>
      </c>
      <c r="I206" s="160">
        <v>0</v>
      </c>
      <c r="J206" s="15">
        <v>922655.5</v>
      </c>
      <c r="K206" s="258">
        <v>41320</v>
      </c>
      <c r="L206" s="285"/>
    </row>
    <row r="207" spans="1:12" s="277" customFormat="1" x14ac:dyDescent="0.25">
      <c r="A207" s="8" t="s">
        <v>0</v>
      </c>
      <c r="B207" s="39" t="s">
        <v>80</v>
      </c>
      <c r="C207" s="18" t="s">
        <v>83</v>
      </c>
      <c r="D207" s="11">
        <v>42</v>
      </c>
      <c r="E207" s="12" t="s">
        <v>758</v>
      </c>
      <c r="F207" s="13" t="s">
        <v>2</v>
      </c>
      <c r="G207" s="12" t="s">
        <v>461</v>
      </c>
      <c r="H207" s="12" t="s">
        <v>461</v>
      </c>
      <c r="I207" s="160">
        <v>0</v>
      </c>
      <c r="J207" s="15">
        <v>1531580.55</v>
      </c>
      <c r="K207" s="25" t="s">
        <v>461</v>
      </c>
      <c r="L207" s="285"/>
    </row>
    <row r="208" spans="1:12" s="277" customFormat="1" x14ac:dyDescent="0.25">
      <c r="A208" s="8" t="s">
        <v>0</v>
      </c>
      <c r="B208" s="39" t="s">
        <v>81</v>
      </c>
      <c r="C208" s="18" t="s">
        <v>4</v>
      </c>
      <c r="D208" s="11">
        <v>63</v>
      </c>
      <c r="E208" s="12" t="s">
        <v>758</v>
      </c>
      <c r="F208" s="12" t="s">
        <v>2</v>
      </c>
      <c r="G208" s="12" t="s">
        <v>461</v>
      </c>
      <c r="H208" s="12" t="s">
        <v>461</v>
      </c>
      <c r="I208" s="160">
        <v>0</v>
      </c>
      <c r="J208" s="15">
        <v>1428900</v>
      </c>
      <c r="K208" s="25" t="s">
        <v>461</v>
      </c>
      <c r="L208" s="285"/>
    </row>
    <row r="209" spans="1:12" s="277" customFormat="1" x14ac:dyDescent="0.25">
      <c r="A209" s="8" t="s">
        <v>0</v>
      </c>
      <c r="B209" s="39" t="s">
        <v>82</v>
      </c>
      <c r="C209" s="18" t="s">
        <v>4</v>
      </c>
      <c r="D209" s="11"/>
      <c r="E209" s="12" t="s">
        <v>758</v>
      </c>
      <c r="F209" s="8" t="s">
        <v>2</v>
      </c>
      <c r="G209" s="12" t="s">
        <v>461</v>
      </c>
      <c r="H209" s="12" t="s">
        <v>461</v>
      </c>
      <c r="I209" s="160">
        <v>0</v>
      </c>
      <c r="J209" s="15">
        <v>50883333.329999998</v>
      </c>
      <c r="K209" s="25">
        <v>41320</v>
      </c>
      <c r="L209" s="285"/>
    </row>
    <row r="210" spans="1:12" s="277" customFormat="1" x14ac:dyDescent="0.25">
      <c r="A210" s="8" t="s">
        <v>0</v>
      </c>
      <c r="B210" s="39" t="s">
        <v>84</v>
      </c>
      <c r="C210" s="18" t="s">
        <v>5</v>
      </c>
      <c r="D210" s="11">
        <v>65</v>
      </c>
      <c r="E210" s="12" t="s">
        <v>758</v>
      </c>
      <c r="F210" s="12" t="s">
        <v>2</v>
      </c>
      <c r="G210" s="12" t="s">
        <v>461</v>
      </c>
      <c r="H210" s="12" t="s">
        <v>461</v>
      </c>
      <c r="I210" s="160">
        <v>0</v>
      </c>
      <c r="J210" s="15">
        <v>685071.47</v>
      </c>
      <c r="K210" s="25" t="s">
        <v>461</v>
      </c>
      <c r="L210" s="285"/>
    </row>
    <row r="211" spans="1:12" s="277" customFormat="1" x14ac:dyDescent="0.25">
      <c r="A211" s="8" t="s">
        <v>0</v>
      </c>
      <c r="B211" s="32" t="s">
        <v>584</v>
      </c>
      <c r="C211" s="18" t="s">
        <v>561</v>
      </c>
      <c r="D211" s="17" t="s">
        <v>915</v>
      </c>
      <c r="E211" s="12" t="s">
        <v>758</v>
      </c>
      <c r="F211" s="12" t="s">
        <v>2</v>
      </c>
      <c r="G211" s="12" t="s">
        <v>461</v>
      </c>
      <c r="H211" s="12" t="s">
        <v>461</v>
      </c>
      <c r="I211" s="160">
        <v>0</v>
      </c>
      <c r="J211" s="15">
        <v>271579.53000000003</v>
      </c>
      <c r="K211" s="25" t="s">
        <v>461</v>
      </c>
      <c r="L211" s="285"/>
    </row>
    <row r="212" spans="1:12" s="277" customFormat="1" x14ac:dyDescent="0.25">
      <c r="A212" s="281" t="s">
        <v>0</v>
      </c>
      <c r="B212" s="245" t="s">
        <v>85</v>
      </c>
      <c r="C212" s="246" t="s">
        <v>5</v>
      </c>
      <c r="D212" s="280">
        <v>92</v>
      </c>
      <c r="E212" s="278" t="s">
        <v>758</v>
      </c>
      <c r="F212" s="281" t="s">
        <v>2</v>
      </c>
      <c r="G212" s="12" t="s">
        <v>461</v>
      </c>
      <c r="H212" s="12" t="s">
        <v>461</v>
      </c>
      <c r="I212" s="160">
        <v>0</v>
      </c>
      <c r="J212" s="15">
        <v>799528.4</v>
      </c>
      <c r="K212" s="258" t="s">
        <v>461</v>
      </c>
      <c r="L212" s="285"/>
    </row>
    <row r="213" spans="1:12" s="277" customFormat="1" x14ac:dyDescent="0.25">
      <c r="A213" s="8" t="s">
        <v>0</v>
      </c>
      <c r="B213" s="39" t="s">
        <v>86</v>
      </c>
      <c r="C213" s="18" t="s">
        <v>5</v>
      </c>
      <c r="D213" s="11">
        <v>92</v>
      </c>
      <c r="E213" s="12" t="s">
        <v>758</v>
      </c>
      <c r="F213" s="8" t="s">
        <v>2</v>
      </c>
      <c r="G213" s="12" t="s">
        <v>461</v>
      </c>
      <c r="H213" s="12" t="s">
        <v>461</v>
      </c>
      <c r="I213" s="160">
        <v>0</v>
      </c>
      <c r="J213" s="15">
        <v>4548136.7</v>
      </c>
      <c r="K213" s="25" t="s">
        <v>461</v>
      </c>
      <c r="L213" s="285"/>
    </row>
    <row r="214" spans="1:12" s="277" customFormat="1" x14ac:dyDescent="0.25">
      <c r="A214" s="8" t="s">
        <v>0</v>
      </c>
      <c r="B214" s="39" t="s">
        <v>87</v>
      </c>
      <c r="C214" s="18" t="s">
        <v>4</v>
      </c>
      <c r="D214" s="11"/>
      <c r="E214" s="12" t="s">
        <v>758</v>
      </c>
      <c r="F214" s="8" t="s">
        <v>2</v>
      </c>
      <c r="G214" s="12" t="s">
        <v>461</v>
      </c>
      <c r="H214" s="12" t="s">
        <v>461</v>
      </c>
      <c r="I214" s="160">
        <v>0</v>
      </c>
      <c r="J214" s="15">
        <v>516988.89</v>
      </c>
      <c r="K214" s="258">
        <v>41320</v>
      </c>
      <c r="L214" s="285"/>
    </row>
    <row r="215" spans="1:12" s="277" customFormat="1" x14ac:dyDescent="0.25">
      <c r="A215" s="8" t="s">
        <v>0</v>
      </c>
      <c r="B215" s="39" t="s">
        <v>88</v>
      </c>
      <c r="C215" s="18" t="s">
        <v>5</v>
      </c>
      <c r="D215" s="11"/>
      <c r="E215" s="12" t="s">
        <v>759</v>
      </c>
      <c r="F215" s="8" t="s">
        <v>2</v>
      </c>
      <c r="G215" s="12" t="s">
        <v>461</v>
      </c>
      <c r="H215" s="12" t="s">
        <v>461</v>
      </c>
      <c r="I215" s="160">
        <v>0</v>
      </c>
      <c r="J215" s="15">
        <v>733181</v>
      </c>
      <c r="K215" s="25">
        <v>41320</v>
      </c>
      <c r="L215" s="285"/>
    </row>
    <row r="216" spans="1:12" s="277" customFormat="1" x14ac:dyDescent="0.25">
      <c r="A216" s="8" t="s">
        <v>0</v>
      </c>
      <c r="B216" s="39" t="s">
        <v>89</v>
      </c>
      <c r="C216" s="18" t="s">
        <v>4</v>
      </c>
      <c r="D216" s="11">
        <v>65</v>
      </c>
      <c r="E216" s="12" t="s">
        <v>758</v>
      </c>
      <c r="F216" s="12" t="s">
        <v>2</v>
      </c>
      <c r="G216" s="12" t="s">
        <v>461</v>
      </c>
      <c r="H216" s="12" t="s">
        <v>461</v>
      </c>
      <c r="I216" s="160">
        <v>0</v>
      </c>
      <c r="J216" s="15">
        <v>1341666.67</v>
      </c>
      <c r="K216" s="25" t="s">
        <v>461</v>
      </c>
      <c r="L216" s="285"/>
    </row>
    <row r="217" spans="1:12" s="277" customFormat="1" x14ac:dyDescent="0.25">
      <c r="A217" s="281" t="s">
        <v>0</v>
      </c>
      <c r="B217" s="251" t="s">
        <v>1184</v>
      </c>
      <c r="C217" s="254" t="s">
        <v>4</v>
      </c>
      <c r="D217" s="257" t="s">
        <v>1295</v>
      </c>
      <c r="E217" s="278" t="s">
        <v>758</v>
      </c>
      <c r="F217" s="12" t="s">
        <v>2</v>
      </c>
      <c r="G217" s="12" t="s">
        <v>461</v>
      </c>
      <c r="H217" s="12" t="s">
        <v>461</v>
      </c>
      <c r="I217" s="160">
        <v>0</v>
      </c>
      <c r="J217" s="15">
        <v>9739583.3300000001</v>
      </c>
      <c r="K217" s="12" t="s">
        <v>461</v>
      </c>
      <c r="L217" s="285"/>
    </row>
    <row r="218" spans="1:12" s="277" customFormat="1" x14ac:dyDescent="0.25">
      <c r="A218" s="8" t="s">
        <v>0</v>
      </c>
      <c r="B218" s="32" t="s">
        <v>564</v>
      </c>
      <c r="C218" s="18" t="s">
        <v>561</v>
      </c>
      <c r="D218" s="11">
        <v>92</v>
      </c>
      <c r="E218" s="12" t="s">
        <v>759</v>
      </c>
      <c r="F218" s="8" t="s">
        <v>2</v>
      </c>
      <c r="G218" s="12" t="s">
        <v>461</v>
      </c>
      <c r="H218" s="12" t="s">
        <v>461</v>
      </c>
      <c r="I218" s="160">
        <v>0</v>
      </c>
      <c r="J218" s="15">
        <v>429355</v>
      </c>
      <c r="K218" s="25" t="s">
        <v>461</v>
      </c>
      <c r="L218" s="285"/>
    </row>
    <row r="219" spans="1:12" s="277" customFormat="1" x14ac:dyDescent="0.25">
      <c r="A219" s="8" t="s">
        <v>0</v>
      </c>
      <c r="B219" s="39" t="s">
        <v>90</v>
      </c>
      <c r="C219" s="18" t="s">
        <v>4</v>
      </c>
      <c r="D219" s="11">
        <v>3</v>
      </c>
      <c r="E219" s="12" t="s">
        <v>758</v>
      </c>
      <c r="F219" s="12" t="s">
        <v>2</v>
      </c>
      <c r="G219" s="12" t="s">
        <v>461</v>
      </c>
      <c r="H219" s="12" t="s">
        <v>461</v>
      </c>
      <c r="I219" s="160">
        <v>0</v>
      </c>
      <c r="J219" s="15">
        <v>1196302.58</v>
      </c>
      <c r="K219" s="13" t="s">
        <v>461</v>
      </c>
      <c r="L219" s="285"/>
    </row>
    <row r="220" spans="1:12" s="277" customFormat="1" x14ac:dyDescent="0.25">
      <c r="A220" s="8" t="s">
        <v>0</v>
      </c>
      <c r="B220" s="39" t="s">
        <v>91</v>
      </c>
      <c r="C220" s="18" t="s">
        <v>5</v>
      </c>
      <c r="D220" s="11" t="s">
        <v>1260</v>
      </c>
      <c r="E220" s="12" t="s">
        <v>758</v>
      </c>
      <c r="F220" s="12" t="s">
        <v>2</v>
      </c>
      <c r="G220" s="12" t="s">
        <v>461</v>
      </c>
      <c r="H220" s="12" t="s">
        <v>461</v>
      </c>
      <c r="I220" s="160">
        <v>0</v>
      </c>
      <c r="J220" s="15">
        <v>172937.5</v>
      </c>
      <c r="K220" s="13" t="s">
        <v>461</v>
      </c>
      <c r="L220" s="285"/>
    </row>
    <row r="221" spans="1:12" s="277" customFormat="1" x14ac:dyDescent="0.25">
      <c r="A221" s="281" t="s">
        <v>0</v>
      </c>
      <c r="B221" s="253" t="s">
        <v>544</v>
      </c>
      <c r="C221" s="254" t="s">
        <v>4</v>
      </c>
      <c r="D221" s="280">
        <v>66</v>
      </c>
      <c r="E221" s="278" t="s">
        <v>758</v>
      </c>
      <c r="F221" s="12" t="s">
        <v>2</v>
      </c>
      <c r="G221" s="12" t="s">
        <v>461</v>
      </c>
      <c r="H221" s="12" t="s">
        <v>461</v>
      </c>
      <c r="I221" s="160">
        <v>0</v>
      </c>
      <c r="J221" s="15">
        <v>1361111.1099999999</v>
      </c>
      <c r="K221" s="258" t="s">
        <v>461</v>
      </c>
      <c r="L221" s="285"/>
    </row>
    <row r="222" spans="1:12" s="277" customFormat="1" x14ac:dyDescent="0.25">
      <c r="A222" s="8" t="s">
        <v>0</v>
      </c>
      <c r="B222" s="39" t="s">
        <v>545</v>
      </c>
      <c r="C222" s="18" t="s">
        <v>4</v>
      </c>
      <c r="D222" s="11"/>
      <c r="E222" s="12" t="s">
        <v>758</v>
      </c>
      <c r="F222" s="8" t="s">
        <v>2</v>
      </c>
      <c r="G222" s="12" t="s">
        <v>461</v>
      </c>
      <c r="H222" s="12" t="s">
        <v>461</v>
      </c>
      <c r="I222" s="160">
        <v>0</v>
      </c>
      <c r="J222" s="15">
        <v>2411625</v>
      </c>
      <c r="K222" s="258">
        <v>41320</v>
      </c>
      <c r="L222" s="285"/>
    </row>
    <row r="223" spans="1:12" s="277" customFormat="1" x14ac:dyDescent="0.25">
      <c r="A223" s="8" t="s">
        <v>0</v>
      </c>
      <c r="B223" s="39" t="s">
        <v>92</v>
      </c>
      <c r="C223" s="18" t="s">
        <v>5</v>
      </c>
      <c r="D223" s="11" t="s">
        <v>1260</v>
      </c>
      <c r="E223" s="12" t="s">
        <v>758</v>
      </c>
      <c r="F223" s="12" t="s">
        <v>2</v>
      </c>
      <c r="G223" s="12" t="s">
        <v>461</v>
      </c>
      <c r="H223" s="12" t="s">
        <v>461</v>
      </c>
      <c r="I223" s="160">
        <v>0</v>
      </c>
      <c r="J223" s="15">
        <v>769176.83</v>
      </c>
      <c r="K223" s="25" t="s">
        <v>461</v>
      </c>
      <c r="L223" s="285"/>
    </row>
    <row r="224" spans="1:12" x14ac:dyDescent="0.25">
      <c r="A224" s="8" t="s">
        <v>0</v>
      </c>
      <c r="B224" s="39" t="s">
        <v>93</v>
      </c>
      <c r="C224" s="18" t="s">
        <v>5</v>
      </c>
      <c r="D224" s="11">
        <v>92</v>
      </c>
      <c r="E224" s="12" t="s">
        <v>758</v>
      </c>
      <c r="F224" s="8" t="s">
        <v>2</v>
      </c>
      <c r="G224" s="12" t="s">
        <v>461</v>
      </c>
      <c r="H224" s="12" t="s">
        <v>461</v>
      </c>
      <c r="I224" s="160">
        <v>0</v>
      </c>
      <c r="J224" s="15">
        <v>4566167</v>
      </c>
      <c r="K224" s="25" t="s">
        <v>461</v>
      </c>
      <c r="L224" s="285"/>
    </row>
    <row r="225" spans="1:12" s="277" customFormat="1" x14ac:dyDescent="0.25">
      <c r="A225" s="8" t="s">
        <v>0</v>
      </c>
      <c r="B225" s="39" t="s">
        <v>94</v>
      </c>
      <c r="C225" s="18" t="s">
        <v>4</v>
      </c>
      <c r="D225" s="11">
        <v>93</v>
      </c>
      <c r="E225" s="12" t="s">
        <v>758</v>
      </c>
      <c r="F225" s="8" t="s">
        <v>2</v>
      </c>
      <c r="G225" s="12" t="s">
        <v>461</v>
      </c>
      <c r="H225" s="12" t="s">
        <v>461</v>
      </c>
      <c r="I225" s="160">
        <v>0</v>
      </c>
      <c r="J225" s="15">
        <v>612118.06000000006</v>
      </c>
      <c r="K225" s="25" t="s">
        <v>461</v>
      </c>
      <c r="L225" s="285"/>
    </row>
    <row r="226" spans="1:12" x14ac:dyDescent="0.25">
      <c r="A226" s="281" t="s">
        <v>0</v>
      </c>
      <c r="B226" s="245" t="s">
        <v>95</v>
      </c>
      <c r="C226" s="246" t="s">
        <v>4</v>
      </c>
      <c r="D226" s="11" t="s">
        <v>1260</v>
      </c>
      <c r="E226" s="12" t="s">
        <v>758</v>
      </c>
      <c r="F226" s="12" t="s">
        <v>2</v>
      </c>
      <c r="G226" s="12" t="s">
        <v>461</v>
      </c>
      <c r="H226" s="12" t="s">
        <v>461</v>
      </c>
      <c r="I226" s="160">
        <v>0</v>
      </c>
      <c r="J226" s="15">
        <v>1084486.1099999999</v>
      </c>
      <c r="K226" s="258" t="s">
        <v>461</v>
      </c>
      <c r="L226" s="285"/>
    </row>
    <row r="227" spans="1:12" x14ac:dyDescent="0.25">
      <c r="A227" s="8" t="s">
        <v>0</v>
      </c>
      <c r="B227" s="39" t="s">
        <v>96</v>
      </c>
      <c r="C227" s="246" t="s">
        <v>4</v>
      </c>
      <c r="D227" s="17" t="s">
        <v>1137</v>
      </c>
      <c r="E227" s="12" t="s">
        <v>758</v>
      </c>
      <c r="F227" s="12" t="s">
        <v>2</v>
      </c>
      <c r="G227" s="12" t="s">
        <v>461</v>
      </c>
      <c r="H227" s="12" t="s">
        <v>461</v>
      </c>
      <c r="I227" s="160">
        <v>0</v>
      </c>
      <c r="J227" s="15">
        <v>2362500</v>
      </c>
      <c r="K227" s="25" t="s">
        <v>461</v>
      </c>
      <c r="L227" s="285"/>
    </row>
    <row r="228" spans="1:12" x14ac:dyDescent="0.25">
      <c r="A228" s="8" t="s">
        <v>0</v>
      </c>
      <c r="B228" s="39" t="s">
        <v>96</v>
      </c>
      <c r="C228" s="19" t="s">
        <v>665</v>
      </c>
      <c r="D228" s="17" t="s">
        <v>1137</v>
      </c>
      <c r="E228" s="12" t="s">
        <v>461</v>
      </c>
      <c r="F228" s="12" t="s">
        <v>461</v>
      </c>
      <c r="G228" s="12" t="s">
        <v>461</v>
      </c>
      <c r="H228" s="12" t="s">
        <v>461</v>
      </c>
      <c r="I228" s="160">
        <v>0</v>
      </c>
      <c r="J228" s="15">
        <v>0</v>
      </c>
      <c r="K228" s="258" t="s">
        <v>461</v>
      </c>
      <c r="L228" s="285"/>
    </row>
    <row r="229" spans="1:12" s="277" customFormat="1" x14ac:dyDescent="0.25">
      <c r="A229" s="281" t="s">
        <v>0</v>
      </c>
      <c r="B229" s="253" t="s">
        <v>97</v>
      </c>
      <c r="C229" s="254" t="s">
        <v>4</v>
      </c>
      <c r="D229" s="280">
        <v>66</v>
      </c>
      <c r="E229" s="278" t="s">
        <v>758</v>
      </c>
      <c r="F229" s="12" t="s">
        <v>2</v>
      </c>
      <c r="G229" s="12" t="s">
        <v>461</v>
      </c>
      <c r="H229" s="12" t="s">
        <v>461</v>
      </c>
      <c r="I229" s="160">
        <v>0</v>
      </c>
      <c r="J229" s="15">
        <v>892499.67</v>
      </c>
      <c r="K229" s="258" t="s">
        <v>461</v>
      </c>
      <c r="L229" s="285"/>
    </row>
    <row r="230" spans="1:12" s="277" customFormat="1" x14ac:dyDescent="0.25">
      <c r="A230" s="8" t="s">
        <v>0</v>
      </c>
      <c r="B230" s="39" t="s">
        <v>98</v>
      </c>
      <c r="C230" s="18" t="s">
        <v>4</v>
      </c>
      <c r="D230" s="11"/>
      <c r="E230" s="12" t="s">
        <v>758</v>
      </c>
      <c r="F230" s="8" t="s">
        <v>2</v>
      </c>
      <c r="G230" s="12" t="s">
        <v>461</v>
      </c>
      <c r="H230" s="12" t="s">
        <v>461</v>
      </c>
      <c r="I230" s="160">
        <v>0</v>
      </c>
      <c r="J230" s="15">
        <v>450656</v>
      </c>
      <c r="K230" s="258">
        <v>41320</v>
      </c>
      <c r="L230" s="285"/>
    </row>
    <row r="231" spans="1:12" s="277" customFormat="1" x14ac:dyDescent="0.25">
      <c r="A231" s="8" t="s">
        <v>0</v>
      </c>
      <c r="B231" s="9" t="s">
        <v>720</v>
      </c>
      <c r="C231" s="19" t="s">
        <v>5</v>
      </c>
      <c r="D231" s="11">
        <v>65</v>
      </c>
      <c r="E231" s="12" t="s">
        <v>758</v>
      </c>
      <c r="F231" s="12" t="s">
        <v>2</v>
      </c>
      <c r="G231" s="12" t="s">
        <v>461</v>
      </c>
      <c r="H231" s="12" t="s">
        <v>461</v>
      </c>
      <c r="I231" s="160">
        <v>0</v>
      </c>
      <c r="J231" s="15">
        <v>501821.89</v>
      </c>
      <c r="K231" s="25" t="s">
        <v>461</v>
      </c>
      <c r="L231" s="285"/>
    </row>
    <row r="232" spans="1:12" s="277" customFormat="1" x14ac:dyDescent="0.25">
      <c r="A232" s="8" t="s">
        <v>0</v>
      </c>
      <c r="B232" s="39" t="s">
        <v>99</v>
      </c>
      <c r="C232" s="18" t="s">
        <v>5</v>
      </c>
      <c r="D232" s="11">
        <v>65</v>
      </c>
      <c r="E232" s="12" t="s">
        <v>759</v>
      </c>
      <c r="F232" s="12" t="s">
        <v>2</v>
      </c>
      <c r="G232" s="12" t="s">
        <v>461</v>
      </c>
      <c r="H232" s="12" t="s">
        <v>461</v>
      </c>
      <c r="I232" s="160">
        <v>0</v>
      </c>
      <c r="J232" s="15">
        <v>1012791.42</v>
      </c>
      <c r="K232" s="25" t="s">
        <v>461</v>
      </c>
      <c r="L232" s="285"/>
    </row>
    <row r="233" spans="1:12" s="277" customFormat="1" x14ac:dyDescent="0.25">
      <c r="A233" s="8" t="s">
        <v>0</v>
      </c>
      <c r="B233" s="39" t="s">
        <v>100</v>
      </c>
      <c r="C233" s="18" t="s">
        <v>4</v>
      </c>
      <c r="D233" s="11"/>
      <c r="E233" s="12" t="s">
        <v>758</v>
      </c>
      <c r="F233" s="8" t="s">
        <v>2</v>
      </c>
      <c r="G233" s="12" t="s">
        <v>461</v>
      </c>
      <c r="H233" s="12" t="s">
        <v>461</v>
      </c>
      <c r="I233" s="160">
        <v>0</v>
      </c>
      <c r="J233" s="15">
        <v>571690</v>
      </c>
      <c r="K233" s="258">
        <v>41320</v>
      </c>
      <c r="L233" s="285"/>
    </row>
    <row r="234" spans="1:12" s="285" customFormat="1" x14ac:dyDescent="0.25">
      <c r="A234" s="8" t="s">
        <v>0</v>
      </c>
      <c r="B234" s="39" t="s">
        <v>635</v>
      </c>
      <c r="C234" s="45" t="s">
        <v>560</v>
      </c>
      <c r="D234" s="26">
        <v>92</v>
      </c>
      <c r="E234" s="8" t="s">
        <v>661</v>
      </c>
      <c r="F234" s="30" t="s">
        <v>2</v>
      </c>
      <c r="G234" s="12" t="s">
        <v>461</v>
      </c>
      <c r="H234" s="12" t="s">
        <v>461</v>
      </c>
      <c r="I234" s="160">
        <v>0</v>
      </c>
      <c r="J234" s="15">
        <v>2938871.3</v>
      </c>
      <c r="K234" s="25" t="s">
        <v>461</v>
      </c>
    </row>
    <row r="235" spans="1:12" s="285" customFormat="1" x14ac:dyDescent="0.25">
      <c r="A235" s="8" t="s">
        <v>0</v>
      </c>
      <c r="B235" s="21" t="s">
        <v>592</v>
      </c>
      <c r="C235" s="22" t="s">
        <v>560</v>
      </c>
      <c r="D235" s="26"/>
      <c r="E235" s="8" t="s">
        <v>661</v>
      </c>
      <c r="F235" s="30" t="s">
        <v>2</v>
      </c>
      <c r="G235" s="12" t="s">
        <v>461</v>
      </c>
      <c r="H235" s="12" t="s">
        <v>461</v>
      </c>
      <c r="I235" s="160">
        <v>0</v>
      </c>
      <c r="J235" s="15">
        <v>5754674.9800000004</v>
      </c>
      <c r="K235" s="25">
        <v>41320</v>
      </c>
    </row>
    <row r="236" spans="1:12" s="277" customFormat="1" x14ac:dyDescent="0.25">
      <c r="A236" s="8" t="s">
        <v>0</v>
      </c>
      <c r="B236" s="9" t="s">
        <v>703</v>
      </c>
      <c r="C236" s="19" t="s">
        <v>5</v>
      </c>
      <c r="D236" s="11"/>
      <c r="E236" s="12" t="s">
        <v>758</v>
      </c>
      <c r="F236" s="12" t="s">
        <v>2</v>
      </c>
      <c r="G236" s="12" t="s">
        <v>461</v>
      </c>
      <c r="H236" s="12" t="s">
        <v>461</v>
      </c>
      <c r="I236" s="160">
        <v>0</v>
      </c>
      <c r="J236" s="15">
        <v>1255770.81</v>
      </c>
      <c r="K236" s="25">
        <v>41320</v>
      </c>
      <c r="L236" s="285"/>
    </row>
    <row r="237" spans="1:12" s="277" customFormat="1" x14ac:dyDescent="0.25">
      <c r="A237" s="8" t="s">
        <v>0</v>
      </c>
      <c r="B237" s="39" t="s">
        <v>101</v>
      </c>
      <c r="C237" s="19" t="s">
        <v>461</v>
      </c>
      <c r="D237" s="17" t="s">
        <v>737</v>
      </c>
      <c r="E237" s="12" t="s">
        <v>758</v>
      </c>
      <c r="F237" s="12" t="s">
        <v>2</v>
      </c>
      <c r="G237" s="12" t="s">
        <v>461</v>
      </c>
      <c r="H237" s="12" t="s">
        <v>461</v>
      </c>
      <c r="I237" s="160">
        <v>0</v>
      </c>
      <c r="J237" s="15">
        <v>43687500</v>
      </c>
      <c r="K237" s="13" t="s">
        <v>461</v>
      </c>
      <c r="L237" s="285"/>
    </row>
    <row r="238" spans="1:12" s="277" customFormat="1" x14ac:dyDescent="0.25">
      <c r="A238" s="8" t="s">
        <v>0</v>
      </c>
      <c r="B238" s="21" t="s">
        <v>103</v>
      </c>
      <c r="C238" s="19" t="s">
        <v>4</v>
      </c>
      <c r="D238" s="17">
        <v>6</v>
      </c>
      <c r="E238" s="12" t="s">
        <v>758</v>
      </c>
      <c r="F238" s="12" t="s">
        <v>2</v>
      </c>
      <c r="G238" s="12" t="s">
        <v>461</v>
      </c>
      <c r="H238" s="12" t="s">
        <v>461</v>
      </c>
      <c r="I238" s="160">
        <v>0</v>
      </c>
      <c r="J238" s="15">
        <v>932291666.66999996</v>
      </c>
      <c r="K238" s="13" t="s">
        <v>461</v>
      </c>
      <c r="L238" s="285"/>
    </row>
    <row r="239" spans="1:12" s="277" customFormat="1" x14ac:dyDescent="0.25">
      <c r="A239" s="8" t="s">
        <v>0</v>
      </c>
      <c r="B239" s="31" t="s">
        <v>103</v>
      </c>
      <c r="C239" s="19" t="s">
        <v>665</v>
      </c>
      <c r="D239" s="17" t="s">
        <v>664</v>
      </c>
      <c r="E239" s="12" t="s">
        <v>461</v>
      </c>
      <c r="F239" s="12" t="s">
        <v>461</v>
      </c>
      <c r="G239" s="12" t="s">
        <v>461</v>
      </c>
      <c r="H239" s="12" t="s">
        <v>461</v>
      </c>
      <c r="I239" s="160">
        <v>0</v>
      </c>
      <c r="J239" s="15">
        <v>0</v>
      </c>
      <c r="K239" s="13" t="s">
        <v>461</v>
      </c>
      <c r="L239" s="285"/>
    </row>
    <row r="240" spans="1:12" s="277" customFormat="1" x14ac:dyDescent="0.25">
      <c r="A240" s="8" t="s">
        <v>0</v>
      </c>
      <c r="B240" s="39" t="s">
        <v>104</v>
      </c>
      <c r="C240" s="18" t="s">
        <v>4</v>
      </c>
      <c r="D240" s="11" t="s">
        <v>1260</v>
      </c>
      <c r="E240" s="12" t="s">
        <v>758</v>
      </c>
      <c r="F240" s="12" t="s">
        <v>2</v>
      </c>
      <c r="G240" s="12" t="s">
        <v>461</v>
      </c>
      <c r="H240" s="12" t="s">
        <v>461</v>
      </c>
      <c r="I240" s="160">
        <v>0</v>
      </c>
      <c r="J240" s="15">
        <v>2049100</v>
      </c>
      <c r="K240" s="25" t="s">
        <v>461</v>
      </c>
      <c r="L240" s="285"/>
    </row>
    <row r="241" spans="1:12" s="277" customFormat="1" x14ac:dyDescent="0.25">
      <c r="A241" s="8" t="s">
        <v>0</v>
      </c>
      <c r="B241" s="39" t="s">
        <v>105</v>
      </c>
      <c r="C241" s="18" t="s">
        <v>5</v>
      </c>
      <c r="D241" s="17" t="s">
        <v>915</v>
      </c>
      <c r="E241" s="12" t="s">
        <v>758</v>
      </c>
      <c r="F241" s="12" t="s">
        <v>2</v>
      </c>
      <c r="G241" s="12" t="s">
        <v>461</v>
      </c>
      <c r="H241" s="12" t="s">
        <v>461</v>
      </c>
      <c r="I241" s="160">
        <v>0</v>
      </c>
      <c r="J241" s="15">
        <v>223571.11</v>
      </c>
      <c r="K241" s="25" t="s">
        <v>461</v>
      </c>
      <c r="L241" s="285"/>
    </row>
    <row r="242" spans="1:12" s="277" customFormat="1" x14ac:dyDescent="0.25">
      <c r="A242" s="8" t="s">
        <v>0</v>
      </c>
      <c r="B242" s="32" t="s">
        <v>585</v>
      </c>
      <c r="C242" s="18" t="s">
        <v>561</v>
      </c>
      <c r="D242" s="11"/>
      <c r="E242" s="12" t="s">
        <v>758</v>
      </c>
      <c r="F242" s="8" t="s">
        <v>2</v>
      </c>
      <c r="G242" s="12" t="s">
        <v>461</v>
      </c>
      <c r="H242" s="12" t="s">
        <v>461</v>
      </c>
      <c r="I242" s="160">
        <v>0</v>
      </c>
      <c r="J242" s="15">
        <v>628033.33000000007</v>
      </c>
      <c r="K242" s="258">
        <v>41320</v>
      </c>
      <c r="L242" s="285"/>
    </row>
    <row r="243" spans="1:12" s="277" customFormat="1" x14ac:dyDescent="0.25">
      <c r="A243" s="8" t="s">
        <v>0</v>
      </c>
      <c r="B243" s="9" t="s">
        <v>586</v>
      </c>
      <c r="C243" s="18" t="s">
        <v>106</v>
      </c>
      <c r="D243" s="11">
        <v>42</v>
      </c>
      <c r="E243" s="12" t="s">
        <v>758</v>
      </c>
      <c r="F243" s="13" t="s">
        <v>2</v>
      </c>
      <c r="G243" s="12" t="s">
        <v>461</v>
      </c>
      <c r="H243" s="12" t="s">
        <v>461</v>
      </c>
      <c r="I243" s="160">
        <v>0</v>
      </c>
      <c r="J243" s="15">
        <v>535813.22</v>
      </c>
      <c r="K243" s="25" t="s">
        <v>461</v>
      </c>
      <c r="L243" s="285"/>
    </row>
    <row r="244" spans="1:12" s="277" customFormat="1" x14ac:dyDescent="0.25">
      <c r="A244" s="8" t="s">
        <v>0</v>
      </c>
      <c r="B244" s="39" t="s">
        <v>107</v>
      </c>
      <c r="C244" s="18" t="s">
        <v>5</v>
      </c>
      <c r="D244" s="11"/>
      <c r="E244" s="12" t="s">
        <v>759</v>
      </c>
      <c r="F244" s="8" t="s">
        <v>2</v>
      </c>
      <c r="G244" s="12" t="s">
        <v>461</v>
      </c>
      <c r="H244" s="12" t="s">
        <v>461</v>
      </c>
      <c r="I244" s="160">
        <v>0</v>
      </c>
      <c r="J244" s="15">
        <v>314283</v>
      </c>
      <c r="K244" s="25">
        <v>41320</v>
      </c>
      <c r="L244" s="285"/>
    </row>
    <row r="245" spans="1:12" s="277" customFormat="1" x14ac:dyDescent="0.25">
      <c r="A245" s="8" t="s">
        <v>0</v>
      </c>
      <c r="B245" s="39" t="s">
        <v>108</v>
      </c>
      <c r="C245" s="18" t="s">
        <v>5</v>
      </c>
      <c r="D245" s="11"/>
      <c r="E245" s="12" t="s">
        <v>758</v>
      </c>
      <c r="F245" s="8" t="s">
        <v>2</v>
      </c>
      <c r="G245" s="12" t="s">
        <v>461</v>
      </c>
      <c r="H245" s="12" t="s">
        <v>461</v>
      </c>
      <c r="I245" s="160">
        <v>0</v>
      </c>
      <c r="J245" s="15">
        <v>180258.5</v>
      </c>
      <c r="K245" s="258">
        <v>41320</v>
      </c>
      <c r="L245" s="285"/>
    </row>
    <row r="246" spans="1:12" s="277" customFormat="1" x14ac:dyDescent="0.25">
      <c r="A246" s="8" t="s">
        <v>0</v>
      </c>
      <c r="B246" s="39" t="s">
        <v>109</v>
      </c>
      <c r="C246" s="18" t="s">
        <v>5</v>
      </c>
      <c r="D246" s="11">
        <v>65</v>
      </c>
      <c r="E246" s="12" t="s">
        <v>759</v>
      </c>
      <c r="F246" s="12" t="s">
        <v>2</v>
      </c>
      <c r="G246" s="12" t="s">
        <v>461</v>
      </c>
      <c r="H246" s="12" t="s">
        <v>461</v>
      </c>
      <c r="I246" s="160">
        <v>0</v>
      </c>
      <c r="J246" s="15">
        <v>424645.83999999997</v>
      </c>
      <c r="K246" s="25" t="s">
        <v>461</v>
      </c>
      <c r="L246" s="285"/>
    </row>
    <row r="247" spans="1:12" s="277" customFormat="1" x14ac:dyDescent="0.25">
      <c r="A247" s="281" t="s">
        <v>0</v>
      </c>
      <c r="B247" s="245" t="s">
        <v>110</v>
      </c>
      <c r="C247" s="246" t="s">
        <v>4</v>
      </c>
      <c r="D247" s="11"/>
      <c r="E247" s="12" t="s">
        <v>758</v>
      </c>
      <c r="F247" s="8" t="s">
        <v>2</v>
      </c>
      <c r="G247" s="12" t="s">
        <v>461</v>
      </c>
      <c r="H247" s="12" t="s">
        <v>461</v>
      </c>
      <c r="I247" s="160">
        <v>0</v>
      </c>
      <c r="J247" s="15">
        <v>1521074.4299999995</v>
      </c>
      <c r="K247" s="25">
        <v>41320</v>
      </c>
      <c r="L247" s="285"/>
    </row>
    <row r="248" spans="1:12" s="277" customFormat="1" x14ac:dyDescent="0.25">
      <c r="A248" s="8" t="s">
        <v>0</v>
      </c>
      <c r="B248" s="39" t="s">
        <v>111</v>
      </c>
      <c r="C248" s="18" t="s">
        <v>4</v>
      </c>
      <c r="D248" s="11"/>
      <c r="E248" s="12" t="s">
        <v>758</v>
      </c>
      <c r="F248" s="8" t="s">
        <v>2</v>
      </c>
      <c r="G248" s="12" t="s">
        <v>461</v>
      </c>
      <c r="H248" s="12" t="s">
        <v>461</v>
      </c>
      <c r="I248" s="160">
        <v>0</v>
      </c>
      <c r="J248" s="15">
        <v>13875000</v>
      </c>
      <c r="K248" s="258">
        <v>41320</v>
      </c>
      <c r="L248" s="285"/>
    </row>
    <row r="249" spans="1:12" s="277" customFormat="1" x14ac:dyDescent="0.25">
      <c r="A249" s="8" t="s">
        <v>0</v>
      </c>
      <c r="B249" s="39" t="s">
        <v>112</v>
      </c>
      <c r="C249" s="18" t="s">
        <v>4</v>
      </c>
      <c r="D249" s="11">
        <v>66</v>
      </c>
      <c r="E249" s="12" t="s">
        <v>758</v>
      </c>
      <c r="F249" s="12" t="s">
        <v>2</v>
      </c>
      <c r="G249" s="12" t="s">
        <v>461</v>
      </c>
      <c r="H249" s="12" t="s">
        <v>461</v>
      </c>
      <c r="I249" s="160">
        <v>0</v>
      </c>
      <c r="J249" s="15">
        <v>2847222.22</v>
      </c>
      <c r="K249" s="25" t="s">
        <v>461</v>
      </c>
      <c r="L249" s="285"/>
    </row>
    <row r="250" spans="1:12" s="277" customFormat="1" x14ac:dyDescent="0.25">
      <c r="A250" s="8" t="s">
        <v>0</v>
      </c>
      <c r="B250" s="39" t="s">
        <v>113</v>
      </c>
      <c r="C250" s="18" t="s">
        <v>83</v>
      </c>
      <c r="D250" s="11"/>
      <c r="E250" s="12" t="s">
        <v>758</v>
      </c>
      <c r="F250" s="8" t="s">
        <v>2</v>
      </c>
      <c r="G250" s="12" t="s">
        <v>461</v>
      </c>
      <c r="H250" s="12" t="s">
        <v>461</v>
      </c>
      <c r="I250" s="160">
        <v>0</v>
      </c>
      <c r="J250" s="15">
        <v>281859</v>
      </c>
      <c r="K250" s="258">
        <v>41320</v>
      </c>
      <c r="L250" s="285"/>
    </row>
    <row r="251" spans="1:12" s="277" customFormat="1" x14ac:dyDescent="0.25">
      <c r="A251" s="8" t="s">
        <v>0</v>
      </c>
      <c r="B251" s="39" t="s">
        <v>114</v>
      </c>
      <c r="C251" s="18" t="s">
        <v>4</v>
      </c>
      <c r="D251" s="11" t="s">
        <v>1260</v>
      </c>
      <c r="E251" s="8" t="s">
        <v>758</v>
      </c>
      <c r="F251" s="12" t="s">
        <v>2</v>
      </c>
      <c r="G251" s="12" t="s">
        <v>461</v>
      </c>
      <c r="H251" s="12" t="s">
        <v>461</v>
      </c>
      <c r="I251" s="160">
        <v>0</v>
      </c>
      <c r="J251" s="15">
        <v>23916666.670000002</v>
      </c>
      <c r="K251" s="25" t="s">
        <v>461</v>
      </c>
      <c r="L251" s="285"/>
    </row>
    <row r="252" spans="1:12" s="277" customFormat="1" x14ac:dyDescent="0.25">
      <c r="A252" s="281" t="s">
        <v>0</v>
      </c>
      <c r="B252" s="245" t="s">
        <v>115</v>
      </c>
      <c r="C252" s="246" t="s">
        <v>5</v>
      </c>
      <c r="D252" s="257"/>
      <c r="E252" s="278" t="s">
        <v>758</v>
      </c>
      <c r="F252" s="281" t="s">
        <v>2</v>
      </c>
      <c r="G252" s="12" t="s">
        <v>461</v>
      </c>
      <c r="H252" s="12" t="s">
        <v>461</v>
      </c>
      <c r="I252" s="160">
        <v>0</v>
      </c>
      <c r="J252" s="15">
        <v>610863.55000000005</v>
      </c>
      <c r="K252" s="258" t="s">
        <v>461</v>
      </c>
      <c r="L252" s="285"/>
    </row>
    <row r="253" spans="1:12" s="277" customFormat="1" x14ac:dyDescent="0.25">
      <c r="A253" s="8" t="s">
        <v>0</v>
      </c>
      <c r="B253" s="39" t="s">
        <v>116</v>
      </c>
      <c r="C253" s="18" t="s">
        <v>4</v>
      </c>
      <c r="D253" s="11"/>
      <c r="E253" s="12" t="s">
        <v>758</v>
      </c>
      <c r="F253" s="8" t="s">
        <v>2</v>
      </c>
      <c r="G253" s="12" t="s">
        <v>461</v>
      </c>
      <c r="H253" s="12" t="s">
        <v>461</v>
      </c>
      <c r="I253" s="160">
        <v>0</v>
      </c>
      <c r="J253" s="15">
        <v>967361.11</v>
      </c>
      <c r="K253" s="258">
        <v>41320</v>
      </c>
      <c r="L253" s="285"/>
    </row>
    <row r="254" spans="1:12" s="277" customFormat="1" x14ac:dyDescent="0.25">
      <c r="A254" s="8" t="s">
        <v>0</v>
      </c>
      <c r="B254" s="9" t="s">
        <v>676</v>
      </c>
      <c r="C254" s="19" t="s">
        <v>5</v>
      </c>
      <c r="D254" s="11"/>
      <c r="E254" s="12" t="s">
        <v>758</v>
      </c>
      <c r="F254" s="8" t="s">
        <v>2</v>
      </c>
      <c r="G254" s="12" t="s">
        <v>461</v>
      </c>
      <c r="H254" s="12" t="s">
        <v>461</v>
      </c>
      <c r="I254" s="160">
        <v>0</v>
      </c>
      <c r="J254" s="15">
        <v>1235448.96</v>
      </c>
      <c r="K254" s="258">
        <v>41320</v>
      </c>
      <c r="L254" s="285"/>
    </row>
    <row r="255" spans="1:12" s="277" customFormat="1" x14ac:dyDescent="0.25">
      <c r="A255" s="8" t="s">
        <v>0</v>
      </c>
      <c r="B255" s="39" t="s">
        <v>117</v>
      </c>
      <c r="C255" s="18" t="s">
        <v>4</v>
      </c>
      <c r="D255" s="11">
        <v>66</v>
      </c>
      <c r="E255" s="12" t="s">
        <v>758</v>
      </c>
      <c r="F255" s="12" t="s">
        <v>2</v>
      </c>
      <c r="G255" s="12" t="s">
        <v>461</v>
      </c>
      <c r="H255" s="12" t="s">
        <v>461</v>
      </c>
      <c r="I255" s="160">
        <v>0</v>
      </c>
      <c r="J255" s="15">
        <v>8763409.7200000007</v>
      </c>
      <c r="K255" s="25" t="s">
        <v>461</v>
      </c>
      <c r="L255" s="285"/>
    </row>
    <row r="256" spans="1:12" s="277" customFormat="1" x14ac:dyDescent="0.25">
      <c r="A256" s="281" t="s">
        <v>0</v>
      </c>
      <c r="B256" s="253" t="s">
        <v>118</v>
      </c>
      <c r="C256" s="254" t="s">
        <v>4</v>
      </c>
      <c r="D256" s="280">
        <v>65</v>
      </c>
      <c r="E256" s="278" t="s">
        <v>758</v>
      </c>
      <c r="F256" s="12" t="s">
        <v>2</v>
      </c>
      <c r="G256" s="12" t="s">
        <v>461</v>
      </c>
      <c r="H256" s="12" t="s">
        <v>461</v>
      </c>
      <c r="I256" s="160">
        <v>0</v>
      </c>
      <c r="J256" s="15">
        <v>2151875</v>
      </c>
      <c r="K256" s="258" t="s">
        <v>461</v>
      </c>
      <c r="L256" s="285"/>
    </row>
    <row r="257" spans="1:12" s="277" customFormat="1" x14ac:dyDescent="0.25">
      <c r="A257" s="8" t="s">
        <v>0</v>
      </c>
      <c r="B257" s="39" t="s">
        <v>119</v>
      </c>
      <c r="C257" s="18" t="s">
        <v>5</v>
      </c>
      <c r="D257" s="11"/>
      <c r="E257" s="12" t="s">
        <v>758</v>
      </c>
      <c r="F257" s="8" t="s">
        <v>2</v>
      </c>
      <c r="G257" s="12" t="s">
        <v>461</v>
      </c>
      <c r="H257" s="12" t="s">
        <v>461</v>
      </c>
      <c r="I257" s="160">
        <v>0</v>
      </c>
      <c r="J257" s="15">
        <v>1229277.78</v>
      </c>
      <c r="K257" s="258">
        <v>41320</v>
      </c>
      <c r="L257" s="285"/>
    </row>
    <row r="258" spans="1:12" s="277" customFormat="1" x14ac:dyDescent="0.25">
      <c r="A258" s="8" t="s">
        <v>0</v>
      </c>
      <c r="B258" s="39" t="s">
        <v>120</v>
      </c>
      <c r="C258" s="18" t="s">
        <v>5</v>
      </c>
      <c r="D258" s="11" t="s">
        <v>1260</v>
      </c>
      <c r="E258" s="12" t="s">
        <v>759</v>
      </c>
      <c r="F258" s="12" t="s">
        <v>2</v>
      </c>
      <c r="G258" s="12" t="s">
        <v>461</v>
      </c>
      <c r="H258" s="12" t="s">
        <v>461</v>
      </c>
      <c r="I258" s="160">
        <v>0</v>
      </c>
      <c r="J258" s="15">
        <v>65142.53</v>
      </c>
      <c r="K258" s="25" t="s">
        <v>461</v>
      </c>
      <c r="L258" s="285"/>
    </row>
    <row r="259" spans="1:12" s="277" customFormat="1" x14ac:dyDescent="0.25">
      <c r="A259" s="8" t="s">
        <v>0</v>
      </c>
      <c r="B259" s="39" t="s">
        <v>121</v>
      </c>
      <c r="C259" s="18" t="s">
        <v>4</v>
      </c>
      <c r="D259" s="11"/>
      <c r="E259" s="12" t="s">
        <v>758</v>
      </c>
      <c r="F259" s="8" t="s">
        <v>2</v>
      </c>
      <c r="G259" s="12" t="s">
        <v>461</v>
      </c>
      <c r="H259" s="12" t="s">
        <v>461</v>
      </c>
      <c r="I259" s="160">
        <v>0</v>
      </c>
      <c r="J259" s="15">
        <v>3990000</v>
      </c>
      <c r="K259" s="258">
        <v>41320</v>
      </c>
      <c r="L259" s="285"/>
    </row>
    <row r="260" spans="1:12" s="277" customFormat="1" x14ac:dyDescent="0.25">
      <c r="A260" s="8" t="s">
        <v>0</v>
      </c>
      <c r="B260" s="39" t="s">
        <v>122</v>
      </c>
      <c r="C260" s="18" t="s">
        <v>4</v>
      </c>
      <c r="D260" s="11" t="s">
        <v>1260</v>
      </c>
      <c r="E260" s="12" t="s">
        <v>758</v>
      </c>
      <c r="F260" s="12" t="s">
        <v>2</v>
      </c>
      <c r="G260" s="12" t="s">
        <v>461</v>
      </c>
      <c r="H260" s="12" t="s">
        <v>461</v>
      </c>
      <c r="I260" s="160">
        <v>0</v>
      </c>
      <c r="J260" s="15">
        <v>6621772.2199999997</v>
      </c>
      <c r="K260" s="25" t="s">
        <v>461</v>
      </c>
      <c r="L260" s="285"/>
    </row>
    <row r="261" spans="1:12" s="277" customFormat="1" x14ac:dyDescent="0.25">
      <c r="A261" s="8" t="s">
        <v>0</v>
      </c>
      <c r="B261" s="39" t="s">
        <v>123</v>
      </c>
      <c r="C261" s="18" t="s">
        <v>5</v>
      </c>
      <c r="D261" s="11">
        <v>65</v>
      </c>
      <c r="E261" s="12" t="s">
        <v>758</v>
      </c>
      <c r="F261" s="12" t="s">
        <v>2</v>
      </c>
      <c r="G261" s="12" t="s">
        <v>461</v>
      </c>
      <c r="H261" s="12" t="s">
        <v>461</v>
      </c>
      <c r="I261" s="160">
        <v>0</v>
      </c>
      <c r="J261" s="15">
        <v>316478.64</v>
      </c>
      <c r="K261" s="25" t="s">
        <v>461</v>
      </c>
      <c r="L261" s="285"/>
    </row>
    <row r="262" spans="1:12" s="277" customFormat="1" x14ac:dyDescent="0.25">
      <c r="A262" s="8" t="s">
        <v>0</v>
      </c>
      <c r="B262" s="39" t="s">
        <v>124</v>
      </c>
      <c r="C262" s="18" t="s">
        <v>4</v>
      </c>
      <c r="D262" s="11" t="s">
        <v>1260</v>
      </c>
      <c r="E262" s="12" t="s">
        <v>758</v>
      </c>
      <c r="F262" s="12" t="s">
        <v>2</v>
      </c>
      <c r="G262" s="12" t="s">
        <v>461</v>
      </c>
      <c r="H262" s="12" t="s">
        <v>461</v>
      </c>
      <c r="I262" s="160">
        <v>0</v>
      </c>
      <c r="J262" s="15">
        <v>150937500</v>
      </c>
      <c r="K262" s="25" t="s">
        <v>461</v>
      </c>
      <c r="L262" s="285"/>
    </row>
    <row r="263" spans="1:12" s="277" customFormat="1" x14ac:dyDescent="0.25">
      <c r="A263" s="8" t="s">
        <v>0</v>
      </c>
      <c r="B263" s="39" t="s">
        <v>125</v>
      </c>
      <c r="C263" s="18" t="s">
        <v>4</v>
      </c>
      <c r="D263" s="11" t="s">
        <v>1260</v>
      </c>
      <c r="E263" s="12" t="s">
        <v>759</v>
      </c>
      <c r="F263" s="12" t="s">
        <v>2</v>
      </c>
      <c r="G263" s="12" t="s">
        <v>461</v>
      </c>
      <c r="H263" s="12" t="s">
        <v>461</v>
      </c>
      <c r="I263" s="160">
        <v>0</v>
      </c>
      <c r="J263" s="15">
        <v>36111.11</v>
      </c>
      <c r="K263" s="13" t="s">
        <v>461</v>
      </c>
      <c r="L263" s="285"/>
    </row>
    <row r="264" spans="1:12" s="285" customFormat="1" x14ac:dyDescent="0.25">
      <c r="A264" s="8" t="s">
        <v>0</v>
      </c>
      <c r="B264" s="21" t="s">
        <v>593</v>
      </c>
      <c r="C264" s="44" t="s">
        <v>560</v>
      </c>
      <c r="D264" s="26">
        <v>92</v>
      </c>
      <c r="E264" s="8" t="s">
        <v>661</v>
      </c>
      <c r="F264" s="30" t="s">
        <v>2</v>
      </c>
      <c r="G264" s="12" t="s">
        <v>461</v>
      </c>
      <c r="H264" s="12" t="s">
        <v>461</v>
      </c>
      <c r="I264" s="160">
        <v>0</v>
      </c>
      <c r="J264" s="15">
        <v>5529294.54</v>
      </c>
      <c r="K264" s="25" t="s">
        <v>461</v>
      </c>
    </row>
    <row r="265" spans="1:12" s="277" customFormat="1" x14ac:dyDescent="0.25">
      <c r="A265" s="8" t="s">
        <v>0</v>
      </c>
      <c r="B265" s="39" t="s">
        <v>126</v>
      </c>
      <c r="C265" s="18" t="s">
        <v>5</v>
      </c>
      <c r="D265" s="11"/>
      <c r="E265" s="12" t="s">
        <v>759</v>
      </c>
      <c r="F265" s="8" t="s">
        <v>2</v>
      </c>
      <c r="G265" s="12" t="s">
        <v>461</v>
      </c>
      <c r="H265" s="12" t="s">
        <v>461</v>
      </c>
      <c r="I265" s="160">
        <v>0</v>
      </c>
      <c r="J265" s="15">
        <v>550273.33000000007</v>
      </c>
      <c r="K265" s="25">
        <v>41320</v>
      </c>
      <c r="L265" s="285"/>
    </row>
    <row r="266" spans="1:12" s="277" customFormat="1" x14ac:dyDescent="0.25">
      <c r="A266" s="8" t="s">
        <v>0</v>
      </c>
      <c r="B266" s="39" t="s">
        <v>127</v>
      </c>
      <c r="C266" s="18" t="s">
        <v>5</v>
      </c>
      <c r="D266" s="11" t="s">
        <v>1260</v>
      </c>
      <c r="E266" s="12" t="s">
        <v>759</v>
      </c>
      <c r="F266" s="8" t="s">
        <v>2</v>
      </c>
      <c r="G266" s="12" t="s">
        <v>461</v>
      </c>
      <c r="H266" s="12" t="s">
        <v>461</v>
      </c>
      <c r="I266" s="160">
        <v>0</v>
      </c>
      <c r="J266" s="15">
        <v>221659.67</v>
      </c>
      <c r="K266" s="25" t="s">
        <v>461</v>
      </c>
      <c r="L266" s="285"/>
    </row>
    <row r="267" spans="1:12" s="277" customFormat="1" x14ac:dyDescent="0.25">
      <c r="A267" s="8" t="s">
        <v>0</v>
      </c>
      <c r="B267" s="39" t="s">
        <v>128</v>
      </c>
      <c r="C267" s="18" t="s">
        <v>5</v>
      </c>
      <c r="D267" s="17" t="s">
        <v>1260</v>
      </c>
      <c r="E267" s="12" t="s">
        <v>758</v>
      </c>
      <c r="F267" s="12" t="s">
        <v>2</v>
      </c>
      <c r="G267" s="12" t="s">
        <v>461</v>
      </c>
      <c r="H267" s="12" t="s">
        <v>461</v>
      </c>
      <c r="I267" s="160">
        <v>0</v>
      </c>
      <c r="J267" s="15">
        <v>91741.75</v>
      </c>
      <c r="K267" s="25" t="s">
        <v>461</v>
      </c>
      <c r="L267" s="285"/>
    </row>
    <row r="268" spans="1:12" s="277" customFormat="1" x14ac:dyDescent="0.25">
      <c r="A268" s="281" t="s">
        <v>0</v>
      </c>
      <c r="B268" s="249" t="s">
        <v>681</v>
      </c>
      <c r="C268" s="238" t="s">
        <v>5</v>
      </c>
      <c r="D268" s="280">
        <v>42</v>
      </c>
      <c r="E268" s="278" t="s">
        <v>758</v>
      </c>
      <c r="F268" s="278" t="s">
        <v>2</v>
      </c>
      <c r="G268" s="12" t="s">
        <v>461</v>
      </c>
      <c r="H268" s="12" t="s">
        <v>461</v>
      </c>
      <c r="I268" s="160">
        <v>0</v>
      </c>
      <c r="J268" s="15">
        <v>2975699.5377777778</v>
      </c>
      <c r="K268" s="258" t="s">
        <v>461</v>
      </c>
      <c r="L268" s="285"/>
    </row>
    <row r="269" spans="1:12" s="277" customFormat="1" x14ac:dyDescent="0.25">
      <c r="A269" s="200" t="s">
        <v>0</v>
      </c>
      <c r="B269" s="201" t="s">
        <v>649</v>
      </c>
      <c r="C269" s="202" t="s">
        <v>5</v>
      </c>
      <c r="D269" s="212"/>
      <c r="E269" s="200" t="s">
        <v>758</v>
      </c>
      <c r="F269" s="200" t="s">
        <v>2</v>
      </c>
      <c r="G269" s="12" t="s">
        <v>461</v>
      </c>
      <c r="H269" s="12" t="s">
        <v>461</v>
      </c>
      <c r="I269" s="160">
        <v>0</v>
      </c>
      <c r="J269" s="15">
        <v>675032.33000000007</v>
      </c>
      <c r="K269" s="203">
        <v>41320</v>
      </c>
      <c r="L269" s="285"/>
    </row>
    <row r="270" spans="1:12" s="277" customFormat="1" x14ac:dyDescent="0.25">
      <c r="A270" s="8" t="s">
        <v>0</v>
      </c>
      <c r="B270" s="39" t="s">
        <v>129</v>
      </c>
      <c r="C270" s="18" t="s">
        <v>83</v>
      </c>
      <c r="D270" s="11">
        <v>42</v>
      </c>
      <c r="E270" s="12" t="s">
        <v>759</v>
      </c>
      <c r="F270" s="12" t="s">
        <v>2</v>
      </c>
      <c r="G270" s="12" t="s">
        <v>461</v>
      </c>
      <c r="H270" s="12" t="s">
        <v>461</v>
      </c>
      <c r="I270" s="160">
        <v>0</v>
      </c>
      <c r="J270" s="15">
        <v>76188.611111111109</v>
      </c>
      <c r="K270" s="25" t="s">
        <v>461</v>
      </c>
      <c r="L270" s="285"/>
    </row>
    <row r="271" spans="1:12" s="277" customFormat="1" x14ac:dyDescent="0.25">
      <c r="A271" s="8" t="s">
        <v>0</v>
      </c>
      <c r="B271" s="32" t="s">
        <v>565</v>
      </c>
      <c r="C271" s="18" t="s">
        <v>26</v>
      </c>
      <c r="D271" s="11">
        <v>65</v>
      </c>
      <c r="E271" s="12" t="s">
        <v>758</v>
      </c>
      <c r="F271" s="12" t="s">
        <v>2</v>
      </c>
      <c r="G271" s="12" t="s">
        <v>461</v>
      </c>
      <c r="H271" s="12" t="s">
        <v>461</v>
      </c>
      <c r="I271" s="160">
        <v>0</v>
      </c>
      <c r="J271" s="15">
        <v>2233412.12</v>
      </c>
      <c r="K271" s="25" t="s">
        <v>461</v>
      </c>
      <c r="L271" s="285"/>
    </row>
    <row r="272" spans="1:12" s="277" customFormat="1" x14ac:dyDescent="0.25">
      <c r="A272" s="8" t="s">
        <v>0</v>
      </c>
      <c r="B272" s="39" t="s">
        <v>130</v>
      </c>
      <c r="C272" s="18" t="s">
        <v>4</v>
      </c>
      <c r="D272" s="17"/>
      <c r="E272" s="12" t="s">
        <v>758</v>
      </c>
      <c r="F272" s="8" t="s">
        <v>2</v>
      </c>
      <c r="G272" s="12" t="s">
        <v>461</v>
      </c>
      <c r="H272" s="12" t="s">
        <v>461</v>
      </c>
      <c r="I272" s="160">
        <v>0</v>
      </c>
      <c r="J272" s="15">
        <v>3544458.01</v>
      </c>
      <c r="K272" s="25">
        <v>41320</v>
      </c>
      <c r="L272" s="285"/>
    </row>
    <row r="273" spans="1:12" s="277" customFormat="1" x14ac:dyDescent="0.25">
      <c r="A273" s="281" t="s">
        <v>0</v>
      </c>
      <c r="B273" s="245" t="s">
        <v>131</v>
      </c>
      <c r="C273" s="246" t="s">
        <v>5</v>
      </c>
      <c r="D273" s="280">
        <v>92</v>
      </c>
      <c r="E273" s="278" t="s">
        <v>759</v>
      </c>
      <c r="F273" s="281" t="s">
        <v>2</v>
      </c>
      <c r="G273" s="12" t="s">
        <v>461</v>
      </c>
      <c r="H273" s="12" t="s">
        <v>461</v>
      </c>
      <c r="I273" s="160">
        <v>0</v>
      </c>
      <c r="J273" s="15">
        <v>814455.16</v>
      </c>
      <c r="K273" s="258" t="s">
        <v>461</v>
      </c>
      <c r="L273" s="285"/>
    </row>
    <row r="274" spans="1:12" s="277" customFormat="1" x14ac:dyDescent="0.25">
      <c r="A274" s="8" t="s">
        <v>0</v>
      </c>
      <c r="B274" s="39" t="s">
        <v>132</v>
      </c>
      <c r="C274" s="18" t="s">
        <v>4</v>
      </c>
      <c r="D274" s="11">
        <v>98</v>
      </c>
      <c r="E274" s="12" t="s">
        <v>758</v>
      </c>
      <c r="F274" s="8" t="s">
        <v>2</v>
      </c>
      <c r="G274" s="12" t="s">
        <v>461</v>
      </c>
      <c r="H274" s="13">
        <v>41283</v>
      </c>
      <c r="I274" s="160">
        <v>94822.5</v>
      </c>
      <c r="J274" s="15">
        <v>2563719.94</v>
      </c>
      <c r="K274" s="25" t="s">
        <v>461</v>
      </c>
      <c r="L274" s="285"/>
    </row>
    <row r="275" spans="1:12" s="277" customFormat="1" x14ac:dyDescent="0.25">
      <c r="A275" s="8" t="s">
        <v>0</v>
      </c>
      <c r="B275" s="32" t="s">
        <v>566</v>
      </c>
      <c r="C275" s="18" t="s">
        <v>561</v>
      </c>
      <c r="D275" s="11" t="s">
        <v>1260</v>
      </c>
      <c r="E275" s="12" t="s">
        <v>758</v>
      </c>
      <c r="F275" s="8" t="s">
        <v>2</v>
      </c>
      <c r="G275" s="12" t="s">
        <v>461</v>
      </c>
      <c r="H275" s="12" t="s">
        <v>461</v>
      </c>
      <c r="I275" s="160">
        <v>0</v>
      </c>
      <c r="J275" s="15">
        <v>947193.82000000007</v>
      </c>
      <c r="K275" s="258" t="s">
        <v>461</v>
      </c>
      <c r="L275" s="285"/>
    </row>
    <row r="276" spans="1:12" s="277" customFormat="1" x14ac:dyDescent="0.25">
      <c r="A276" s="8" t="s">
        <v>0</v>
      </c>
      <c r="B276" s="39" t="s">
        <v>546</v>
      </c>
      <c r="C276" s="18" t="s">
        <v>5</v>
      </c>
      <c r="D276" s="11"/>
      <c r="E276" s="12" t="s">
        <v>758</v>
      </c>
      <c r="F276" s="8" t="s">
        <v>2</v>
      </c>
      <c r="G276" s="12" t="s">
        <v>461</v>
      </c>
      <c r="H276" s="12" t="s">
        <v>461</v>
      </c>
      <c r="I276" s="160">
        <v>0</v>
      </c>
      <c r="J276" s="15">
        <v>2508122.1799999997</v>
      </c>
      <c r="K276" s="25">
        <v>41320</v>
      </c>
      <c r="L276" s="285"/>
    </row>
    <row r="277" spans="1:12" s="277" customFormat="1" x14ac:dyDescent="0.25">
      <c r="A277" s="281" t="s">
        <v>0</v>
      </c>
      <c r="B277" s="253" t="s">
        <v>547</v>
      </c>
      <c r="C277" s="254" t="s">
        <v>5</v>
      </c>
      <c r="D277" s="280">
        <v>65</v>
      </c>
      <c r="E277" s="278" t="s">
        <v>758</v>
      </c>
      <c r="F277" s="12" t="s">
        <v>2</v>
      </c>
      <c r="G277" s="12" t="s">
        <v>461</v>
      </c>
      <c r="H277" s="12" t="s">
        <v>461</v>
      </c>
      <c r="I277" s="160">
        <v>0</v>
      </c>
      <c r="J277" s="15">
        <v>2628111.33</v>
      </c>
      <c r="K277" s="258" t="s">
        <v>461</v>
      </c>
      <c r="L277" s="285"/>
    </row>
    <row r="278" spans="1:12" s="277" customFormat="1" x14ac:dyDescent="0.25">
      <c r="A278" s="8" t="s">
        <v>0</v>
      </c>
      <c r="B278" s="39" t="s">
        <v>133</v>
      </c>
      <c r="C278" s="18" t="s">
        <v>5</v>
      </c>
      <c r="D278" s="11"/>
      <c r="E278" s="12" t="s">
        <v>758</v>
      </c>
      <c r="F278" s="8" t="s">
        <v>2</v>
      </c>
      <c r="G278" s="12" t="s">
        <v>461</v>
      </c>
      <c r="H278" s="12" t="s">
        <v>461</v>
      </c>
      <c r="I278" s="160">
        <v>0</v>
      </c>
      <c r="J278" s="15">
        <v>1908453</v>
      </c>
      <c r="K278" s="25">
        <v>41320</v>
      </c>
      <c r="L278" s="285"/>
    </row>
    <row r="279" spans="1:12" s="277" customFormat="1" ht="15" customHeight="1" x14ac:dyDescent="0.25">
      <c r="A279" s="281" t="s">
        <v>0</v>
      </c>
      <c r="B279" s="251" t="s">
        <v>1381</v>
      </c>
      <c r="C279" s="246" t="s">
        <v>5</v>
      </c>
      <c r="D279" s="280" t="s">
        <v>1377</v>
      </c>
      <c r="E279" s="278" t="s">
        <v>758</v>
      </c>
      <c r="F279" s="281" t="s">
        <v>2</v>
      </c>
      <c r="G279" s="12" t="s">
        <v>461</v>
      </c>
      <c r="H279" s="12" t="s">
        <v>461</v>
      </c>
      <c r="I279" s="160">
        <v>0</v>
      </c>
      <c r="J279" s="15">
        <v>217550.65</v>
      </c>
      <c r="K279" s="258" t="s">
        <v>461</v>
      </c>
      <c r="L279" s="285"/>
    </row>
    <row r="280" spans="1:12" s="277" customFormat="1" x14ac:dyDescent="0.25">
      <c r="A280" s="8" t="s">
        <v>0</v>
      </c>
      <c r="B280" s="39" t="s">
        <v>134</v>
      </c>
      <c r="C280" s="18" t="s">
        <v>5</v>
      </c>
      <c r="D280" s="11">
        <v>92</v>
      </c>
      <c r="E280" s="12" t="s">
        <v>758</v>
      </c>
      <c r="F280" s="8" t="s">
        <v>2</v>
      </c>
      <c r="G280" s="12" t="s">
        <v>461</v>
      </c>
      <c r="H280" s="12" t="s">
        <v>461</v>
      </c>
      <c r="I280" s="160">
        <v>0</v>
      </c>
      <c r="J280" s="15">
        <v>565616.28</v>
      </c>
      <c r="K280" s="25" t="s">
        <v>461</v>
      </c>
      <c r="L280" s="285"/>
    </row>
    <row r="281" spans="1:12" s="277" customFormat="1" x14ac:dyDescent="0.25">
      <c r="A281" s="8" t="s">
        <v>0</v>
      </c>
      <c r="B281" s="39" t="s">
        <v>135</v>
      </c>
      <c r="C281" s="18" t="s">
        <v>4</v>
      </c>
      <c r="D281" s="11">
        <v>65</v>
      </c>
      <c r="E281" s="12" t="s">
        <v>758</v>
      </c>
      <c r="F281" s="12" t="s">
        <v>2</v>
      </c>
      <c r="G281" s="12" t="s">
        <v>461</v>
      </c>
      <c r="H281" s="12" t="s">
        <v>461</v>
      </c>
      <c r="I281" s="160">
        <v>0</v>
      </c>
      <c r="J281" s="15">
        <v>1138750</v>
      </c>
      <c r="K281" s="25" t="s">
        <v>461</v>
      </c>
      <c r="L281" s="285"/>
    </row>
    <row r="282" spans="1:12" s="285" customFormat="1" x14ac:dyDescent="0.25">
      <c r="A282" s="8" t="s">
        <v>0</v>
      </c>
      <c r="B282" s="31" t="s">
        <v>710</v>
      </c>
      <c r="C282" s="44" t="s">
        <v>560</v>
      </c>
      <c r="D282" s="18"/>
      <c r="E282" s="8" t="s">
        <v>661</v>
      </c>
      <c r="F282" s="30" t="s">
        <v>2</v>
      </c>
      <c r="G282" s="12" t="s">
        <v>461</v>
      </c>
      <c r="H282" s="12" t="s">
        <v>461</v>
      </c>
      <c r="I282" s="160">
        <v>0</v>
      </c>
      <c r="J282" s="15">
        <v>448253.42</v>
      </c>
      <c r="K282" s="25">
        <v>41320</v>
      </c>
    </row>
    <row r="283" spans="1:12" s="277" customFormat="1" x14ac:dyDescent="0.25">
      <c r="A283" s="8" t="s">
        <v>0</v>
      </c>
      <c r="B283" s="39" t="s">
        <v>136</v>
      </c>
      <c r="C283" s="18" t="s">
        <v>5</v>
      </c>
      <c r="D283" s="11">
        <v>65</v>
      </c>
      <c r="E283" s="12" t="s">
        <v>758</v>
      </c>
      <c r="F283" s="12" t="s">
        <v>2</v>
      </c>
      <c r="G283" s="12" t="s">
        <v>461</v>
      </c>
      <c r="H283" s="12" t="s">
        <v>461</v>
      </c>
      <c r="I283" s="160">
        <v>0</v>
      </c>
      <c r="J283" s="15">
        <v>3259100</v>
      </c>
      <c r="K283" s="25" t="s">
        <v>461</v>
      </c>
      <c r="L283" s="285"/>
    </row>
    <row r="284" spans="1:12" s="277" customFormat="1" x14ac:dyDescent="0.25">
      <c r="A284" s="8" t="s">
        <v>0</v>
      </c>
      <c r="B284" s="39" t="s">
        <v>137</v>
      </c>
      <c r="C284" s="18" t="s">
        <v>4</v>
      </c>
      <c r="D284" s="11">
        <v>92</v>
      </c>
      <c r="E284" s="12" t="s">
        <v>758</v>
      </c>
      <c r="F284" s="8" t="s">
        <v>2</v>
      </c>
      <c r="G284" s="12" t="s">
        <v>461</v>
      </c>
      <c r="H284" s="12" t="s">
        <v>461</v>
      </c>
      <c r="I284" s="160">
        <v>0</v>
      </c>
      <c r="J284" s="15">
        <v>2461333.33</v>
      </c>
      <c r="K284" s="25" t="s">
        <v>461</v>
      </c>
      <c r="L284" s="285"/>
    </row>
    <row r="285" spans="1:12" s="277" customFormat="1" x14ac:dyDescent="0.25">
      <c r="A285" s="8" t="s">
        <v>0</v>
      </c>
      <c r="B285" s="39" t="s">
        <v>138</v>
      </c>
      <c r="C285" s="18" t="s">
        <v>5</v>
      </c>
      <c r="D285" s="11">
        <v>92</v>
      </c>
      <c r="E285" s="12" t="s">
        <v>758</v>
      </c>
      <c r="F285" s="8" t="s">
        <v>2</v>
      </c>
      <c r="G285" s="12" t="s">
        <v>461</v>
      </c>
      <c r="H285" s="12" t="s">
        <v>461</v>
      </c>
      <c r="I285" s="160">
        <v>0</v>
      </c>
      <c r="J285" s="15">
        <v>691286.1</v>
      </c>
      <c r="K285" s="25" t="s">
        <v>461</v>
      </c>
      <c r="L285" s="285"/>
    </row>
    <row r="286" spans="1:12" s="277" customFormat="1" x14ac:dyDescent="0.25">
      <c r="A286" s="281" t="s">
        <v>0</v>
      </c>
      <c r="B286" s="245" t="s">
        <v>139</v>
      </c>
      <c r="C286" s="246" t="s">
        <v>5</v>
      </c>
      <c r="D286" s="280">
        <v>92</v>
      </c>
      <c r="E286" s="278" t="s">
        <v>759</v>
      </c>
      <c r="F286" s="281" t="s">
        <v>2</v>
      </c>
      <c r="G286" s="12" t="s">
        <v>461</v>
      </c>
      <c r="H286" s="12" t="s">
        <v>461</v>
      </c>
      <c r="I286" s="160">
        <v>0</v>
      </c>
      <c r="J286" s="15">
        <v>132065.04</v>
      </c>
      <c r="K286" s="258" t="s">
        <v>461</v>
      </c>
      <c r="L286" s="285"/>
    </row>
    <row r="287" spans="1:12" s="277" customFormat="1" x14ac:dyDescent="0.25">
      <c r="A287" s="281" t="s">
        <v>0</v>
      </c>
      <c r="B287" s="245" t="s">
        <v>140</v>
      </c>
      <c r="C287" s="246" t="s">
        <v>5</v>
      </c>
      <c r="D287" s="280">
        <v>92</v>
      </c>
      <c r="E287" s="278" t="s">
        <v>758</v>
      </c>
      <c r="F287" s="281" t="s">
        <v>2</v>
      </c>
      <c r="G287" s="12" t="s">
        <v>461</v>
      </c>
      <c r="H287" s="12" t="s">
        <v>461</v>
      </c>
      <c r="I287" s="160">
        <v>0</v>
      </c>
      <c r="J287" s="15">
        <v>1570839.5</v>
      </c>
      <c r="K287" s="258" t="s">
        <v>461</v>
      </c>
      <c r="L287" s="285"/>
    </row>
    <row r="288" spans="1:12" s="277" customFormat="1" x14ac:dyDescent="0.25">
      <c r="A288" s="281" t="s">
        <v>0</v>
      </c>
      <c r="B288" s="245" t="s">
        <v>611</v>
      </c>
      <c r="C288" s="276" t="s">
        <v>561</v>
      </c>
      <c r="D288" s="280"/>
      <c r="E288" s="278" t="s">
        <v>758</v>
      </c>
      <c r="F288" s="281" t="s">
        <v>2</v>
      </c>
      <c r="G288" s="12" t="s">
        <v>461</v>
      </c>
      <c r="H288" s="12" t="s">
        <v>461</v>
      </c>
      <c r="I288" s="160">
        <v>0</v>
      </c>
      <c r="J288" s="15">
        <v>947239.44</v>
      </c>
      <c r="K288" s="258">
        <v>41320</v>
      </c>
      <c r="L288" s="285"/>
    </row>
    <row r="289" spans="1:12" s="277" customFormat="1" x14ac:dyDescent="0.25">
      <c r="A289" s="8" t="s">
        <v>0</v>
      </c>
      <c r="B289" s="39" t="s">
        <v>141</v>
      </c>
      <c r="C289" s="18" t="s">
        <v>5</v>
      </c>
      <c r="D289" s="11"/>
      <c r="E289" s="12" t="s">
        <v>758</v>
      </c>
      <c r="F289" s="8" t="s">
        <v>2</v>
      </c>
      <c r="G289" s="12" t="s">
        <v>461</v>
      </c>
      <c r="H289" s="12" t="s">
        <v>461</v>
      </c>
      <c r="I289" s="160">
        <v>0</v>
      </c>
      <c r="J289" s="15">
        <v>631215.97</v>
      </c>
      <c r="K289" s="25">
        <v>41320</v>
      </c>
      <c r="L289" s="285"/>
    </row>
    <row r="290" spans="1:12" s="277" customFormat="1" x14ac:dyDescent="0.25">
      <c r="A290" s="8" t="s">
        <v>0</v>
      </c>
      <c r="B290" s="9" t="s">
        <v>1185</v>
      </c>
      <c r="C290" s="18" t="s">
        <v>4</v>
      </c>
      <c r="D290" s="17">
        <v>73</v>
      </c>
      <c r="E290" s="12" t="s">
        <v>758</v>
      </c>
      <c r="F290" s="8" t="s">
        <v>2</v>
      </c>
      <c r="G290" s="12" t="s">
        <v>461</v>
      </c>
      <c r="H290" s="12" t="s">
        <v>461</v>
      </c>
      <c r="I290" s="160">
        <v>0</v>
      </c>
      <c r="J290" s="15">
        <v>4852591.1999999993</v>
      </c>
      <c r="K290" s="25">
        <v>41320</v>
      </c>
      <c r="L290" s="285"/>
    </row>
    <row r="291" spans="1:12" s="277" customFormat="1" x14ac:dyDescent="0.25">
      <c r="A291" s="8" t="s">
        <v>0</v>
      </c>
      <c r="B291" s="39" t="s">
        <v>142</v>
      </c>
      <c r="C291" s="18" t="s">
        <v>5</v>
      </c>
      <c r="D291" s="11"/>
      <c r="E291" s="12" t="s">
        <v>758</v>
      </c>
      <c r="F291" s="8" t="s">
        <v>2</v>
      </c>
      <c r="G291" s="12" t="s">
        <v>461</v>
      </c>
      <c r="H291" s="12" t="s">
        <v>461</v>
      </c>
      <c r="I291" s="160">
        <v>0</v>
      </c>
      <c r="J291" s="15">
        <v>2212236.17</v>
      </c>
      <c r="K291" s="25">
        <v>41320</v>
      </c>
      <c r="L291" s="285"/>
    </row>
    <row r="292" spans="1:12" s="277" customFormat="1" x14ac:dyDescent="0.25">
      <c r="A292" s="8" t="s">
        <v>0</v>
      </c>
      <c r="B292" s="39" t="s">
        <v>143</v>
      </c>
      <c r="C292" s="18" t="s">
        <v>5</v>
      </c>
      <c r="D292" s="11"/>
      <c r="E292" s="12" t="s">
        <v>758</v>
      </c>
      <c r="F292" s="8" t="s">
        <v>2</v>
      </c>
      <c r="G292" s="12" t="s">
        <v>461</v>
      </c>
      <c r="H292" s="12" t="s">
        <v>461</v>
      </c>
      <c r="I292" s="160">
        <v>0</v>
      </c>
      <c r="J292" s="15">
        <v>180940</v>
      </c>
      <c r="K292" s="25">
        <v>41320</v>
      </c>
      <c r="L292" s="285"/>
    </row>
    <row r="293" spans="1:12" s="277" customFormat="1" x14ac:dyDescent="0.25">
      <c r="A293" s="8" t="s">
        <v>0</v>
      </c>
      <c r="B293" s="39" t="s">
        <v>144</v>
      </c>
      <c r="C293" s="18" t="s">
        <v>4</v>
      </c>
      <c r="D293" s="11" t="s">
        <v>1260</v>
      </c>
      <c r="E293" s="12" t="s">
        <v>758</v>
      </c>
      <c r="F293" s="12" t="s">
        <v>2</v>
      </c>
      <c r="G293" s="12" t="s">
        <v>461</v>
      </c>
      <c r="H293" s="12" t="s">
        <v>461</v>
      </c>
      <c r="I293" s="160">
        <v>0</v>
      </c>
      <c r="J293" s="15">
        <v>4739583.330000001</v>
      </c>
      <c r="K293" s="13" t="s">
        <v>461</v>
      </c>
      <c r="L293" s="285"/>
    </row>
    <row r="294" spans="1:12" s="277" customFormat="1" x14ac:dyDescent="0.25">
      <c r="A294" s="8" t="s">
        <v>0</v>
      </c>
      <c r="B294" s="39" t="s">
        <v>145</v>
      </c>
      <c r="C294" s="18" t="s">
        <v>5</v>
      </c>
      <c r="D294" s="11">
        <v>65</v>
      </c>
      <c r="E294" s="12" t="s">
        <v>758</v>
      </c>
      <c r="F294" s="12" t="s">
        <v>2</v>
      </c>
      <c r="G294" s="12" t="s">
        <v>461</v>
      </c>
      <c r="H294" s="12" t="s">
        <v>461</v>
      </c>
      <c r="I294" s="160">
        <v>0</v>
      </c>
      <c r="J294" s="15">
        <v>2800592.33</v>
      </c>
      <c r="K294" s="25" t="s">
        <v>461</v>
      </c>
      <c r="L294" s="285"/>
    </row>
    <row r="295" spans="1:12" s="285" customFormat="1" x14ac:dyDescent="0.25">
      <c r="A295" s="8" t="s">
        <v>0</v>
      </c>
      <c r="B295" s="21" t="s">
        <v>594</v>
      </c>
      <c r="C295" s="44" t="s">
        <v>560</v>
      </c>
      <c r="D295" s="11">
        <v>65</v>
      </c>
      <c r="E295" s="8" t="s">
        <v>661</v>
      </c>
      <c r="F295" s="12" t="s">
        <v>2</v>
      </c>
      <c r="G295" s="12" t="s">
        <v>461</v>
      </c>
      <c r="H295" s="12" t="s">
        <v>461</v>
      </c>
      <c r="I295" s="160">
        <v>0</v>
      </c>
      <c r="J295" s="15">
        <v>512338.96</v>
      </c>
      <c r="K295" s="25" t="s">
        <v>461</v>
      </c>
    </row>
    <row r="296" spans="1:12" s="277" customFormat="1" x14ac:dyDescent="0.25">
      <c r="A296" s="8" t="s">
        <v>0</v>
      </c>
      <c r="B296" s="9" t="s">
        <v>714</v>
      </c>
      <c r="C296" s="19" t="s">
        <v>5</v>
      </c>
      <c r="D296" s="11"/>
      <c r="E296" s="12" t="s">
        <v>758</v>
      </c>
      <c r="F296" s="12" t="s">
        <v>2</v>
      </c>
      <c r="G296" s="12" t="s">
        <v>461</v>
      </c>
      <c r="H296" s="12" t="s">
        <v>461</v>
      </c>
      <c r="I296" s="160">
        <v>0</v>
      </c>
      <c r="J296" s="15">
        <v>832487.5</v>
      </c>
      <c r="K296" s="25">
        <v>41320</v>
      </c>
      <c r="L296" s="285"/>
    </row>
    <row r="297" spans="1:12" s="277" customFormat="1" x14ac:dyDescent="0.25">
      <c r="A297" s="8" t="s">
        <v>0</v>
      </c>
      <c r="B297" s="39" t="s">
        <v>146</v>
      </c>
      <c r="C297" s="18" t="s">
        <v>5</v>
      </c>
      <c r="D297" s="11"/>
      <c r="E297" s="12" t="s">
        <v>759</v>
      </c>
      <c r="F297" s="8" t="s">
        <v>2</v>
      </c>
      <c r="G297" s="12" t="s">
        <v>461</v>
      </c>
      <c r="H297" s="12" t="s">
        <v>461</v>
      </c>
      <c r="I297" s="160">
        <v>0</v>
      </c>
      <c r="J297" s="15">
        <v>457189.44</v>
      </c>
      <c r="K297" s="25">
        <v>41320</v>
      </c>
      <c r="L297" s="285"/>
    </row>
    <row r="298" spans="1:12" s="285" customFormat="1" x14ac:dyDescent="0.25">
      <c r="A298" s="8" t="s">
        <v>0</v>
      </c>
      <c r="B298" s="21" t="s">
        <v>595</v>
      </c>
      <c r="C298" s="44" t="s">
        <v>560</v>
      </c>
      <c r="D298" s="11">
        <v>92</v>
      </c>
      <c r="E298" s="8" t="s">
        <v>661</v>
      </c>
      <c r="F298" s="30" t="s">
        <v>2</v>
      </c>
      <c r="G298" s="12" t="s">
        <v>461</v>
      </c>
      <c r="H298" s="12" t="s">
        <v>461</v>
      </c>
      <c r="I298" s="160">
        <v>0</v>
      </c>
      <c r="J298" s="15">
        <v>5541380.0600000005</v>
      </c>
      <c r="K298" s="25" t="s">
        <v>461</v>
      </c>
    </row>
    <row r="299" spans="1:12" s="277" customFormat="1" x14ac:dyDescent="0.25">
      <c r="A299" s="8" t="s">
        <v>0</v>
      </c>
      <c r="B299" s="39" t="s">
        <v>147</v>
      </c>
      <c r="C299" s="18" t="s">
        <v>5</v>
      </c>
      <c r="D299" s="11"/>
      <c r="E299" s="12" t="s">
        <v>758</v>
      </c>
      <c r="F299" s="8" t="s">
        <v>2</v>
      </c>
      <c r="G299" s="12" t="s">
        <v>461</v>
      </c>
      <c r="H299" s="12" t="s">
        <v>461</v>
      </c>
      <c r="I299" s="160">
        <v>0</v>
      </c>
      <c r="J299" s="15">
        <v>2631196.7799999998</v>
      </c>
      <c r="K299" s="25">
        <v>41320</v>
      </c>
      <c r="L299" s="285"/>
    </row>
    <row r="300" spans="1:12" s="277" customFormat="1" x14ac:dyDescent="0.25">
      <c r="A300" s="8" t="s">
        <v>0</v>
      </c>
      <c r="B300" s="39" t="s">
        <v>148</v>
      </c>
      <c r="C300" s="18" t="s">
        <v>4</v>
      </c>
      <c r="D300" s="11" t="s">
        <v>1260</v>
      </c>
      <c r="E300" s="12" t="s">
        <v>758</v>
      </c>
      <c r="F300" s="12" t="s">
        <v>2</v>
      </c>
      <c r="G300" s="12" t="s">
        <v>461</v>
      </c>
      <c r="H300" s="12" t="s">
        <v>461</v>
      </c>
      <c r="I300" s="160">
        <v>0</v>
      </c>
      <c r="J300" s="15">
        <v>67690844</v>
      </c>
      <c r="K300" s="25" t="s">
        <v>461</v>
      </c>
      <c r="L300" s="285"/>
    </row>
    <row r="301" spans="1:12" s="277" customFormat="1" x14ac:dyDescent="0.25">
      <c r="A301" s="8" t="s">
        <v>0</v>
      </c>
      <c r="B301" s="39" t="s">
        <v>149</v>
      </c>
      <c r="C301" s="18" t="s">
        <v>4</v>
      </c>
      <c r="D301" s="11">
        <v>65</v>
      </c>
      <c r="E301" s="12" t="s">
        <v>758</v>
      </c>
      <c r="F301" s="12" t="s">
        <v>2</v>
      </c>
      <c r="G301" s="12" t="s">
        <v>461</v>
      </c>
      <c r="H301" s="12" t="s">
        <v>461</v>
      </c>
      <c r="I301" s="160">
        <v>0</v>
      </c>
      <c r="J301" s="15">
        <v>1475277.61</v>
      </c>
      <c r="K301" s="25" t="s">
        <v>461</v>
      </c>
      <c r="L301" s="285"/>
    </row>
    <row r="302" spans="1:12" s="285" customFormat="1" x14ac:dyDescent="0.25">
      <c r="A302" s="8" t="s">
        <v>0</v>
      </c>
      <c r="B302" s="39" t="s">
        <v>633</v>
      </c>
      <c r="C302" s="45" t="s">
        <v>560</v>
      </c>
      <c r="D302" s="11">
        <v>22</v>
      </c>
      <c r="E302" s="8" t="s">
        <v>661</v>
      </c>
      <c r="F302" s="30" t="s">
        <v>2</v>
      </c>
      <c r="G302" s="12" t="s">
        <v>461</v>
      </c>
      <c r="H302" s="12" t="s">
        <v>461</v>
      </c>
      <c r="I302" s="160">
        <v>0</v>
      </c>
      <c r="J302" s="15">
        <v>3579573.04</v>
      </c>
      <c r="K302" s="25">
        <v>41320</v>
      </c>
    </row>
    <row r="303" spans="1:12" s="277" customFormat="1" x14ac:dyDescent="0.25">
      <c r="A303" s="8" t="s">
        <v>0</v>
      </c>
      <c r="B303" s="39" t="s">
        <v>150</v>
      </c>
      <c r="C303" s="18" t="s">
        <v>4</v>
      </c>
      <c r="D303" s="11">
        <v>65</v>
      </c>
      <c r="E303" s="12" t="s">
        <v>758</v>
      </c>
      <c r="F303" s="12" t="s">
        <v>2</v>
      </c>
      <c r="G303" s="12" t="s">
        <v>461</v>
      </c>
      <c r="H303" s="12" t="s">
        <v>461</v>
      </c>
      <c r="I303" s="160">
        <v>0</v>
      </c>
      <c r="J303" s="15">
        <v>3817731.76</v>
      </c>
      <c r="K303" s="25" t="s">
        <v>461</v>
      </c>
      <c r="L303" s="285"/>
    </row>
    <row r="304" spans="1:12" s="277" customFormat="1" x14ac:dyDescent="0.25">
      <c r="A304" s="8" t="s">
        <v>0</v>
      </c>
      <c r="B304" s="39" t="s">
        <v>151</v>
      </c>
      <c r="C304" s="18" t="s">
        <v>4</v>
      </c>
      <c r="D304" s="11" t="s">
        <v>1260</v>
      </c>
      <c r="E304" s="12" t="s">
        <v>758</v>
      </c>
      <c r="F304" s="12" t="s">
        <v>2</v>
      </c>
      <c r="G304" s="12" t="s">
        <v>461</v>
      </c>
      <c r="H304" s="12" t="s">
        <v>461</v>
      </c>
      <c r="I304" s="160">
        <v>0</v>
      </c>
      <c r="J304" s="15">
        <v>31676419.996666666</v>
      </c>
      <c r="K304" s="25" t="s">
        <v>461</v>
      </c>
      <c r="L304" s="285"/>
    </row>
    <row r="305" spans="1:12" s="277" customFormat="1" x14ac:dyDescent="0.25">
      <c r="A305" s="8" t="s">
        <v>0</v>
      </c>
      <c r="B305" s="39" t="s">
        <v>152</v>
      </c>
      <c r="C305" s="18" t="s">
        <v>4</v>
      </c>
      <c r="D305" s="11"/>
      <c r="E305" s="12" t="s">
        <v>758</v>
      </c>
      <c r="F305" s="8" t="s">
        <v>2</v>
      </c>
      <c r="G305" s="12" t="s">
        <v>461</v>
      </c>
      <c r="H305" s="12" t="s">
        <v>461</v>
      </c>
      <c r="I305" s="160">
        <v>0</v>
      </c>
      <c r="J305" s="15">
        <v>2220000</v>
      </c>
      <c r="K305" s="25">
        <v>41320</v>
      </c>
      <c r="L305" s="285"/>
    </row>
    <row r="306" spans="1:12" s="277" customFormat="1" x14ac:dyDescent="0.25">
      <c r="A306" s="8" t="s">
        <v>0</v>
      </c>
      <c r="B306" s="39" t="s">
        <v>153</v>
      </c>
      <c r="C306" s="18" t="s">
        <v>4</v>
      </c>
      <c r="D306" s="11"/>
      <c r="E306" s="12" t="s">
        <v>758</v>
      </c>
      <c r="F306" s="8" t="s">
        <v>2</v>
      </c>
      <c r="G306" s="12" t="s">
        <v>461</v>
      </c>
      <c r="H306" s="12" t="s">
        <v>461</v>
      </c>
      <c r="I306" s="160">
        <v>0</v>
      </c>
      <c r="J306" s="15">
        <v>3437732.58</v>
      </c>
      <c r="K306" s="25">
        <v>41320</v>
      </c>
      <c r="L306" s="285"/>
    </row>
    <row r="307" spans="1:12" s="277" customFormat="1" x14ac:dyDescent="0.25">
      <c r="A307" s="281" t="s">
        <v>0</v>
      </c>
      <c r="B307" s="253" t="s">
        <v>154</v>
      </c>
      <c r="C307" s="254" t="s">
        <v>4</v>
      </c>
      <c r="D307" s="280">
        <v>65</v>
      </c>
      <c r="E307" s="278" t="s">
        <v>758</v>
      </c>
      <c r="F307" s="12" t="s">
        <v>2</v>
      </c>
      <c r="G307" s="12" t="s">
        <v>461</v>
      </c>
      <c r="H307" s="12" t="s">
        <v>461</v>
      </c>
      <c r="I307" s="160">
        <v>0</v>
      </c>
      <c r="J307" s="15">
        <v>994791.67</v>
      </c>
      <c r="K307" s="258" t="s">
        <v>461</v>
      </c>
      <c r="L307" s="285"/>
    </row>
    <row r="308" spans="1:12" s="277" customFormat="1" x14ac:dyDescent="0.25">
      <c r="A308" s="8" t="s">
        <v>0</v>
      </c>
      <c r="B308" s="39" t="s">
        <v>155</v>
      </c>
      <c r="C308" s="18" t="s">
        <v>4</v>
      </c>
      <c r="D308" s="11">
        <v>66</v>
      </c>
      <c r="E308" s="12" t="s">
        <v>758</v>
      </c>
      <c r="F308" s="12" t="s">
        <v>2</v>
      </c>
      <c r="G308" s="12" t="s">
        <v>461</v>
      </c>
      <c r="H308" s="12" t="s">
        <v>461</v>
      </c>
      <c r="I308" s="160">
        <v>0</v>
      </c>
      <c r="J308" s="15">
        <v>4778888.8900000006</v>
      </c>
      <c r="K308" s="25" t="s">
        <v>461</v>
      </c>
      <c r="L308" s="285"/>
    </row>
    <row r="309" spans="1:12" s="277" customFormat="1" x14ac:dyDescent="0.25">
      <c r="A309" s="8" t="s">
        <v>0</v>
      </c>
      <c r="B309" s="39" t="s">
        <v>156</v>
      </c>
      <c r="C309" s="18" t="s">
        <v>4</v>
      </c>
      <c r="D309" s="11" t="s">
        <v>1260</v>
      </c>
      <c r="E309" s="12" t="s">
        <v>758</v>
      </c>
      <c r="F309" s="8" t="s">
        <v>2</v>
      </c>
      <c r="G309" s="12" t="s">
        <v>461</v>
      </c>
      <c r="H309" s="12" t="s">
        <v>461</v>
      </c>
      <c r="I309" s="160">
        <v>0</v>
      </c>
      <c r="J309" s="15">
        <v>6795833.3300000001</v>
      </c>
      <c r="K309" s="25" t="s">
        <v>461</v>
      </c>
      <c r="L309" s="285"/>
    </row>
    <row r="310" spans="1:12" s="277" customFormat="1" x14ac:dyDescent="0.25">
      <c r="A310" s="281" t="s">
        <v>0</v>
      </c>
      <c r="B310" s="253" t="s">
        <v>615</v>
      </c>
      <c r="C310" s="157" t="s">
        <v>5</v>
      </c>
      <c r="D310" s="280">
        <v>65</v>
      </c>
      <c r="E310" s="278" t="s">
        <v>758</v>
      </c>
      <c r="F310" s="12" t="s">
        <v>2</v>
      </c>
      <c r="G310" s="12" t="s">
        <v>461</v>
      </c>
      <c r="H310" s="12" t="s">
        <v>461</v>
      </c>
      <c r="I310" s="160">
        <v>0</v>
      </c>
      <c r="J310" s="15">
        <v>480205.56</v>
      </c>
      <c r="K310" s="258" t="s">
        <v>461</v>
      </c>
      <c r="L310" s="285"/>
    </row>
    <row r="311" spans="1:12" s="277" customFormat="1" x14ac:dyDescent="0.25">
      <c r="A311" s="8" t="s">
        <v>0</v>
      </c>
      <c r="B311" s="39" t="s">
        <v>157</v>
      </c>
      <c r="C311" s="19" t="s">
        <v>5</v>
      </c>
      <c r="D311" s="11" t="s">
        <v>1348</v>
      </c>
      <c r="E311" s="12" t="s">
        <v>758</v>
      </c>
      <c r="F311" s="12" t="s">
        <v>2</v>
      </c>
      <c r="G311" s="12" t="s">
        <v>461</v>
      </c>
      <c r="H311" s="12" t="s">
        <v>461</v>
      </c>
      <c r="I311" s="160">
        <v>0</v>
      </c>
      <c r="J311" s="15">
        <v>1206872.5599999998</v>
      </c>
      <c r="K311" s="25" t="s">
        <v>461</v>
      </c>
      <c r="L311" s="285"/>
    </row>
    <row r="312" spans="1:12" s="277" customFormat="1" x14ac:dyDescent="0.25">
      <c r="A312" s="8" t="s">
        <v>0</v>
      </c>
      <c r="B312" s="39" t="s">
        <v>158</v>
      </c>
      <c r="C312" s="19" t="s">
        <v>5</v>
      </c>
      <c r="D312" s="11">
        <v>92</v>
      </c>
      <c r="E312" s="12" t="s">
        <v>759</v>
      </c>
      <c r="F312" s="8" t="s">
        <v>2</v>
      </c>
      <c r="G312" s="12" t="s">
        <v>461</v>
      </c>
      <c r="H312" s="12" t="s">
        <v>461</v>
      </c>
      <c r="I312" s="160">
        <v>0</v>
      </c>
      <c r="J312" s="15">
        <v>7980919.4399999995</v>
      </c>
      <c r="K312" s="25" t="s">
        <v>461</v>
      </c>
      <c r="L312" s="285"/>
    </row>
    <row r="313" spans="1:12" s="285" customFormat="1" x14ac:dyDescent="0.25">
      <c r="A313" s="281" t="s">
        <v>0</v>
      </c>
      <c r="B313" s="251" t="s">
        <v>596</v>
      </c>
      <c r="C313" s="252" t="s">
        <v>560</v>
      </c>
      <c r="D313" s="259">
        <v>92</v>
      </c>
      <c r="E313" s="281" t="s">
        <v>661</v>
      </c>
      <c r="F313" s="247" t="s">
        <v>2</v>
      </c>
      <c r="G313" s="12" t="s">
        <v>461</v>
      </c>
      <c r="H313" s="12" t="s">
        <v>461</v>
      </c>
      <c r="I313" s="160">
        <v>0</v>
      </c>
      <c r="J313" s="15">
        <v>872778.04</v>
      </c>
      <c r="K313" s="258" t="s">
        <v>461</v>
      </c>
    </row>
    <row r="314" spans="1:12" s="277" customFormat="1" x14ac:dyDescent="0.25">
      <c r="A314" s="8" t="s">
        <v>0</v>
      </c>
      <c r="B314" s="39" t="s">
        <v>159</v>
      </c>
      <c r="C314" s="18" t="s">
        <v>5</v>
      </c>
      <c r="D314" s="11"/>
      <c r="E314" s="12" t="s">
        <v>758</v>
      </c>
      <c r="F314" s="8" t="s">
        <v>2</v>
      </c>
      <c r="G314" s="12" t="s">
        <v>461</v>
      </c>
      <c r="H314" s="12" t="s">
        <v>461</v>
      </c>
      <c r="I314" s="160">
        <v>0</v>
      </c>
      <c r="J314" s="15">
        <v>1486945.83</v>
      </c>
      <c r="K314" s="25">
        <v>41320</v>
      </c>
      <c r="L314" s="285"/>
    </row>
    <row r="315" spans="1:12" s="277" customFormat="1" x14ac:dyDescent="0.25">
      <c r="A315" s="8" t="s">
        <v>0</v>
      </c>
      <c r="B315" s="39" t="s">
        <v>548</v>
      </c>
      <c r="C315" s="18" t="s">
        <v>5</v>
      </c>
      <c r="D315" s="11">
        <v>92</v>
      </c>
      <c r="E315" s="12" t="s">
        <v>758</v>
      </c>
      <c r="F315" s="8" t="s">
        <v>2</v>
      </c>
      <c r="G315" s="12" t="s">
        <v>461</v>
      </c>
      <c r="H315" s="12" t="s">
        <v>461</v>
      </c>
      <c r="I315" s="160">
        <v>0</v>
      </c>
      <c r="J315" s="15">
        <v>3355970.5</v>
      </c>
      <c r="K315" s="25" t="s">
        <v>461</v>
      </c>
      <c r="L315" s="285"/>
    </row>
    <row r="316" spans="1:12" s="277" customFormat="1" x14ac:dyDescent="0.25">
      <c r="A316" s="8" t="s">
        <v>0</v>
      </c>
      <c r="B316" s="39" t="s">
        <v>549</v>
      </c>
      <c r="C316" s="18" t="s">
        <v>5</v>
      </c>
      <c r="D316" s="11">
        <v>92</v>
      </c>
      <c r="E316" s="12" t="s">
        <v>758</v>
      </c>
      <c r="F316" s="8" t="s">
        <v>2</v>
      </c>
      <c r="G316" s="12" t="s">
        <v>461</v>
      </c>
      <c r="H316" s="12" t="s">
        <v>461</v>
      </c>
      <c r="I316" s="160">
        <v>0</v>
      </c>
      <c r="J316" s="15">
        <v>3388248.5</v>
      </c>
      <c r="K316" s="25" t="s">
        <v>461</v>
      </c>
      <c r="L316" s="285"/>
    </row>
    <row r="317" spans="1:12" s="277" customFormat="1" x14ac:dyDescent="0.25">
      <c r="A317" s="8" t="s">
        <v>0</v>
      </c>
      <c r="B317" s="39" t="s">
        <v>160</v>
      </c>
      <c r="C317" s="18" t="s">
        <v>4</v>
      </c>
      <c r="D317" s="11" t="s">
        <v>1260</v>
      </c>
      <c r="E317" s="12" t="s">
        <v>758</v>
      </c>
      <c r="F317" s="12" t="s">
        <v>2</v>
      </c>
      <c r="G317" s="12" t="s">
        <v>461</v>
      </c>
      <c r="H317" s="12" t="s">
        <v>461</v>
      </c>
      <c r="I317" s="160">
        <v>0</v>
      </c>
      <c r="J317" s="15">
        <v>3333333.33</v>
      </c>
      <c r="K317" s="13" t="s">
        <v>461</v>
      </c>
      <c r="L317" s="285"/>
    </row>
    <row r="318" spans="1:12" s="277" customFormat="1" x14ac:dyDescent="0.25">
      <c r="A318" s="8" t="s">
        <v>0</v>
      </c>
      <c r="B318" s="39" t="s">
        <v>161</v>
      </c>
      <c r="C318" s="18" t="s">
        <v>5</v>
      </c>
      <c r="D318" s="11"/>
      <c r="E318" s="12" t="s">
        <v>758</v>
      </c>
      <c r="F318" s="8" t="s">
        <v>2</v>
      </c>
      <c r="G318" s="12" t="s">
        <v>461</v>
      </c>
      <c r="H318" s="12" t="s">
        <v>461</v>
      </c>
      <c r="I318" s="160">
        <v>0</v>
      </c>
      <c r="J318" s="15">
        <v>1913405</v>
      </c>
      <c r="K318" s="25">
        <v>41320</v>
      </c>
      <c r="L318" s="285"/>
    </row>
    <row r="319" spans="1:12" s="277" customFormat="1" x14ac:dyDescent="0.25">
      <c r="A319" s="8" t="s">
        <v>0</v>
      </c>
      <c r="B319" s="39" t="s">
        <v>162</v>
      </c>
      <c r="C319" s="18" t="s">
        <v>5</v>
      </c>
      <c r="D319" s="11"/>
      <c r="E319" s="12" t="s">
        <v>758</v>
      </c>
      <c r="F319" s="8" t="s">
        <v>2</v>
      </c>
      <c r="G319" s="12" t="s">
        <v>461</v>
      </c>
      <c r="H319" s="12" t="s">
        <v>461</v>
      </c>
      <c r="I319" s="160">
        <v>0</v>
      </c>
      <c r="J319" s="15">
        <v>87959</v>
      </c>
      <c r="K319" s="25">
        <v>41320</v>
      </c>
      <c r="L319" s="285"/>
    </row>
    <row r="320" spans="1:12" s="277" customFormat="1" x14ac:dyDescent="0.25">
      <c r="A320" s="8" t="s">
        <v>0</v>
      </c>
      <c r="B320" s="39" t="s">
        <v>163</v>
      </c>
      <c r="C320" s="18" t="s">
        <v>5</v>
      </c>
      <c r="D320" s="11"/>
      <c r="E320" s="12" t="s">
        <v>759</v>
      </c>
      <c r="F320" s="8" t="s">
        <v>2</v>
      </c>
      <c r="G320" s="12" t="s">
        <v>461</v>
      </c>
      <c r="H320" s="13">
        <v>41283</v>
      </c>
      <c r="I320" s="160">
        <v>22972.5</v>
      </c>
      <c r="J320" s="15">
        <v>1840948.72</v>
      </c>
      <c r="K320" s="25">
        <v>41320</v>
      </c>
      <c r="L320" s="285"/>
    </row>
    <row r="321" spans="1:12" s="277" customFormat="1" x14ac:dyDescent="0.25">
      <c r="A321" s="8" t="s">
        <v>0</v>
      </c>
      <c r="B321" s="39" t="s">
        <v>164</v>
      </c>
      <c r="C321" s="18" t="s">
        <v>4</v>
      </c>
      <c r="D321" s="11">
        <v>80</v>
      </c>
      <c r="E321" s="12" t="s">
        <v>758</v>
      </c>
      <c r="F321" s="12" t="s">
        <v>2</v>
      </c>
      <c r="G321" s="12" t="s">
        <v>461</v>
      </c>
      <c r="H321" s="12" t="s">
        <v>461</v>
      </c>
      <c r="I321" s="160">
        <v>0</v>
      </c>
      <c r="J321" s="15">
        <v>5166600</v>
      </c>
      <c r="K321" s="12" t="s">
        <v>461</v>
      </c>
      <c r="L321" s="285"/>
    </row>
    <row r="322" spans="1:12" s="285" customFormat="1" x14ac:dyDescent="0.25">
      <c r="A322" s="281" t="s">
        <v>0</v>
      </c>
      <c r="B322" s="245" t="s">
        <v>634</v>
      </c>
      <c r="C322" s="274" t="s">
        <v>560</v>
      </c>
      <c r="D322" s="280">
        <v>92</v>
      </c>
      <c r="E322" s="281" t="s">
        <v>661</v>
      </c>
      <c r="F322" s="247" t="s">
        <v>2</v>
      </c>
      <c r="G322" s="12" t="s">
        <v>461</v>
      </c>
      <c r="H322" s="12" t="s">
        <v>461</v>
      </c>
      <c r="I322" s="160">
        <v>0</v>
      </c>
      <c r="J322" s="15">
        <v>3423094.2</v>
      </c>
      <c r="K322" s="258" t="s">
        <v>461</v>
      </c>
    </row>
    <row r="323" spans="1:12" s="277" customFormat="1" x14ac:dyDescent="0.25">
      <c r="A323" s="8" t="s">
        <v>0</v>
      </c>
      <c r="B323" s="39" t="s">
        <v>165</v>
      </c>
      <c r="C323" s="18" t="s">
        <v>5</v>
      </c>
      <c r="D323" s="11">
        <v>66</v>
      </c>
      <c r="E323" s="12" t="s">
        <v>758</v>
      </c>
      <c r="F323" s="12" t="s">
        <v>2</v>
      </c>
      <c r="G323" s="12" t="s">
        <v>461</v>
      </c>
      <c r="H323" s="12" t="s">
        <v>461</v>
      </c>
      <c r="I323" s="160">
        <v>0</v>
      </c>
      <c r="J323" s="15">
        <v>90173.67</v>
      </c>
      <c r="K323" s="25" t="s">
        <v>461</v>
      </c>
      <c r="L323" s="285"/>
    </row>
    <row r="324" spans="1:12" s="285" customFormat="1" x14ac:dyDescent="0.25">
      <c r="A324" s="8" t="s">
        <v>0</v>
      </c>
      <c r="B324" s="9" t="s">
        <v>726</v>
      </c>
      <c r="C324" s="10" t="s">
        <v>560</v>
      </c>
      <c r="D324" s="11">
        <v>52</v>
      </c>
      <c r="E324" s="8" t="s">
        <v>661</v>
      </c>
      <c r="F324" s="12" t="s">
        <v>2</v>
      </c>
      <c r="G324" s="12" t="s">
        <v>461</v>
      </c>
      <c r="H324" s="12" t="s">
        <v>461</v>
      </c>
      <c r="I324" s="160">
        <v>0</v>
      </c>
      <c r="J324" s="15">
        <v>154592.16</v>
      </c>
      <c r="K324" s="25" t="s">
        <v>461</v>
      </c>
    </row>
    <row r="325" spans="1:12" s="277" customFormat="1" x14ac:dyDescent="0.25">
      <c r="A325" s="8" t="s">
        <v>0</v>
      </c>
      <c r="B325" s="39" t="s">
        <v>619</v>
      </c>
      <c r="C325" s="45" t="s">
        <v>561</v>
      </c>
      <c r="D325" s="11"/>
      <c r="E325" s="12" t="s">
        <v>758</v>
      </c>
      <c r="F325" s="8" t="s">
        <v>2</v>
      </c>
      <c r="G325" s="12" t="s">
        <v>461</v>
      </c>
      <c r="H325" s="12" t="s">
        <v>461</v>
      </c>
      <c r="I325" s="160">
        <v>0</v>
      </c>
      <c r="J325" s="15">
        <v>156090</v>
      </c>
      <c r="K325" s="25">
        <v>41320</v>
      </c>
      <c r="L325" s="285"/>
    </row>
    <row r="326" spans="1:12" s="277" customFormat="1" x14ac:dyDescent="0.25">
      <c r="A326" s="8" t="s">
        <v>0</v>
      </c>
      <c r="B326" s="39" t="s">
        <v>166</v>
      </c>
      <c r="C326" s="18" t="s">
        <v>5</v>
      </c>
      <c r="D326" s="11">
        <v>66</v>
      </c>
      <c r="E326" s="12" t="s">
        <v>758</v>
      </c>
      <c r="F326" s="12" t="s">
        <v>2</v>
      </c>
      <c r="G326" s="12" t="s">
        <v>461</v>
      </c>
      <c r="H326" s="12" t="s">
        <v>461</v>
      </c>
      <c r="I326" s="160">
        <v>0</v>
      </c>
      <c r="J326" s="15">
        <v>1397234.25</v>
      </c>
      <c r="K326" s="25" t="s">
        <v>461</v>
      </c>
      <c r="L326" s="285"/>
    </row>
    <row r="327" spans="1:12" s="277" customFormat="1" x14ac:dyDescent="0.25">
      <c r="A327" s="281" t="s">
        <v>0</v>
      </c>
      <c r="B327" s="245" t="s">
        <v>167</v>
      </c>
      <c r="C327" s="246" t="s">
        <v>5</v>
      </c>
      <c r="D327" s="280">
        <v>92</v>
      </c>
      <c r="E327" s="278" t="s">
        <v>758</v>
      </c>
      <c r="F327" s="281" t="s">
        <v>2</v>
      </c>
      <c r="G327" s="12" t="s">
        <v>461</v>
      </c>
      <c r="H327" s="12" t="s">
        <v>461</v>
      </c>
      <c r="I327" s="160">
        <v>0</v>
      </c>
      <c r="J327" s="15">
        <v>1567852.34</v>
      </c>
      <c r="K327" s="258" t="s">
        <v>461</v>
      </c>
      <c r="L327" s="285"/>
    </row>
    <row r="328" spans="1:12" s="277" customFormat="1" x14ac:dyDescent="0.25">
      <c r="A328" s="281" t="s">
        <v>0</v>
      </c>
      <c r="B328" s="249" t="s">
        <v>746</v>
      </c>
      <c r="C328" s="246" t="s">
        <v>4</v>
      </c>
      <c r="D328" s="280">
        <v>95</v>
      </c>
      <c r="E328" s="278" t="s">
        <v>758</v>
      </c>
      <c r="F328" s="281" t="s">
        <v>2</v>
      </c>
      <c r="G328" s="12" t="s">
        <v>461</v>
      </c>
      <c r="H328" s="12" t="s">
        <v>461</v>
      </c>
      <c r="I328" s="160">
        <v>0</v>
      </c>
      <c r="J328" s="15">
        <v>1388333.33</v>
      </c>
      <c r="K328" s="258" t="s">
        <v>461</v>
      </c>
      <c r="L328" s="285"/>
    </row>
    <row r="329" spans="1:12" s="285" customFormat="1" x14ac:dyDescent="0.25">
      <c r="A329" s="8" t="s">
        <v>0</v>
      </c>
      <c r="B329" s="21" t="s">
        <v>660</v>
      </c>
      <c r="C329" s="44" t="s">
        <v>560</v>
      </c>
      <c r="D329" s="26"/>
      <c r="E329" s="8" t="s">
        <v>661</v>
      </c>
      <c r="F329" s="30" t="s">
        <v>2</v>
      </c>
      <c r="G329" s="12" t="s">
        <v>461</v>
      </c>
      <c r="H329" s="12" t="s">
        <v>461</v>
      </c>
      <c r="I329" s="160">
        <v>0</v>
      </c>
      <c r="J329" s="15">
        <v>1144660.3500000001</v>
      </c>
      <c r="K329" s="25">
        <v>41320</v>
      </c>
    </row>
    <row r="330" spans="1:12" s="277" customFormat="1" x14ac:dyDescent="0.25">
      <c r="A330" s="8" t="s">
        <v>0</v>
      </c>
      <c r="B330" s="9" t="s">
        <v>713</v>
      </c>
      <c r="C330" s="19" t="s">
        <v>5</v>
      </c>
      <c r="D330" s="11"/>
      <c r="E330" s="12" t="s">
        <v>758</v>
      </c>
      <c r="F330" s="12" t="s">
        <v>2</v>
      </c>
      <c r="G330" s="12" t="s">
        <v>461</v>
      </c>
      <c r="H330" s="12" t="s">
        <v>461</v>
      </c>
      <c r="I330" s="160">
        <v>0</v>
      </c>
      <c r="J330" s="15">
        <v>0</v>
      </c>
      <c r="K330" s="25">
        <v>41320</v>
      </c>
      <c r="L330" s="285"/>
    </row>
    <row r="331" spans="1:12" s="277" customFormat="1" x14ac:dyDescent="0.25">
      <c r="A331" s="8" t="s">
        <v>0</v>
      </c>
      <c r="B331" s="39" t="s">
        <v>168</v>
      </c>
      <c r="C331" s="18" t="s">
        <v>5</v>
      </c>
      <c r="D331" s="11">
        <v>92</v>
      </c>
      <c r="E331" s="12" t="s">
        <v>758</v>
      </c>
      <c r="F331" s="8" t="s">
        <v>2</v>
      </c>
      <c r="G331" s="12" t="s">
        <v>461</v>
      </c>
      <c r="H331" s="12" t="s">
        <v>461</v>
      </c>
      <c r="I331" s="160">
        <v>0</v>
      </c>
      <c r="J331" s="15">
        <v>7228349.3300000001</v>
      </c>
      <c r="K331" s="25" t="s">
        <v>461</v>
      </c>
      <c r="L331" s="285"/>
    </row>
    <row r="332" spans="1:12" s="277" customFormat="1" ht="30.75" customHeight="1" x14ac:dyDescent="0.25">
      <c r="A332" s="281" t="s">
        <v>0</v>
      </c>
      <c r="B332" s="251" t="s">
        <v>1104</v>
      </c>
      <c r="C332" s="276" t="s">
        <v>561</v>
      </c>
      <c r="D332" s="257" t="s">
        <v>1148</v>
      </c>
      <c r="E332" s="278" t="s">
        <v>758</v>
      </c>
      <c r="F332" s="12" t="s">
        <v>2</v>
      </c>
      <c r="G332" s="12" t="s">
        <v>461</v>
      </c>
      <c r="H332" s="12" t="s">
        <v>461</v>
      </c>
      <c r="I332" s="160">
        <v>0</v>
      </c>
      <c r="J332" s="15">
        <v>353795.81</v>
      </c>
      <c r="K332" s="258" t="s">
        <v>461</v>
      </c>
      <c r="L332" s="285"/>
    </row>
    <row r="333" spans="1:12" s="277" customFormat="1" x14ac:dyDescent="0.25">
      <c r="A333" s="8" t="s">
        <v>0</v>
      </c>
      <c r="B333" s="39" t="s">
        <v>169</v>
      </c>
      <c r="C333" s="18" t="s">
        <v>4</v>
      </c>
      <c r="D333" s="11">
        <v>80</v>
      </c>
      <c r="E333" s="12" t="s">
        <v>758</v>
      </c>
      <c r="F333" s="12" t="s">
        <v>2</v>
      </c>
      <c r="G333" s="12" t="s">
        <v>461</v>
      </c>
      <c r="H333" s="12" t="s">
        <v>461</v>
      </c>
      <c r="I333" s="160">
        <v>0</v>
      </c>
      <c r="J333" s="15">
        <v>8528882.8900000006</v>
      </c>
      <c r="K333" s="25" t="s">
        <v>461</v>
      </c>
      <c r="L333" s="285"/>
    </row>
    <row r="334" spans="1:12" s="277" customFormat="1" x14ac:dyDescent="0.25">
      <c r="A334" s="8" t="s">
        <v>0</v>
      </c>
      <c r="B334" s="9" t="s">
        <v>170</v>
      </c>
      <c r="C334" s="18" t="s">
        <v>4</v>
      </c>
      <c r="D334" s="11" t="s">
        <v>1260</v>
      </c>
      <c r="E334" s="12" t="s">
        <v>758</v>
      </c>
      <c r="F334" s="12" t="s">
        <v>2</v>
      </c>
      <c r="G334" s="12" t="s">
        <v>461</v>
      </c>
      <c r="H334" s="12" t="s">
        <v>461</v>
      </c>
      <c r="I334" s="160">
        <v>0</v>
      </c>
      <c r="J334" s="15">
        <v>355946666.67000002</v>
      </c>
      <c r="K334" s="13" t="s">
        <v>461</v>
      </c>
      <c r="L334" s="285"/>
    </row>
    <row r="335" spans="1:12" s="277" customFormat="1" x14ac:dyDescent="0.25">
      <c r="A335" s="281" t="s">
        <v>0</v>
      </c>
      <c r="B335" s="245" t="s">
        <v>171</v>
      </c>
      <c r="C335" s="246" t="s">
        <v>4</v>
      </c>
      <c r="D335" s="11" t="s">
        <v>1260</v>
      </c>
      <c r="E335" s="12" t="s">
        <v>758</v>
      </c>
      <c r="F335" s="12" t="s">
        <v>2</v>
      </c>
      <c r="G335" s="12" t="s">
        <v>461</v>
      </c>
      <c r="H335" s="12" t="s">
        <v>461</v>
      </c>
      <c r="I335" s="160">
        <v>0</v>
      </c>
      <c r="J335" s="15">
        <v>4192649.11</v>
      </c>
      <c r="K335" s="25" t="s">
        <v>461</v>
      </c>
      <c r="L335" s="285"/>
    </row>
    <row r="336" spans="1:12" s="277" customFormat="1" x14ac:dyDescent="0.25">
      <c r="A336" s="8" t="s">
        <v>0</v>
      </c>
      <c r="B336" s="39" t="s">
        <v>172</v>
      </c>
      <c r="C336" s="18" t="s">
        <v>5</v>
      </c>
      <c r="D336" s="11">
        <v>66</v>
      </c>
      <c r="E336" s="12" t="s">
        <v>758</v>
      </c>
      <c r="F336" s="12" t="s">
        <v>2</v>
      </c>
      <c r="G336" s="12" t="s">
        <v>461</v>
      </c>
      <c r="H336" s="12" t="s">
        <v>461</v>
      </c>
      <c r="I336" s="160">
        <v>0</v>
      </c>
      <c r="J336" s="15">
        <v>664597.32999999996</v>
      </c>
      <c r="K336" s="25" t="s">
        <v>461</v>
      </c>
      <c r="L336" s="285"/>
    </row>
    <row r="337" spans="1:12" s="285" customFormat="1" x14ac:dyDescent="0.25">
      <c r="A337" s="8" t="s">
        <v>0</v>
      </c>
      <c r="B337" s="21" t="s">
        <v>656</v>
      </c>
      <c r="C337" s="44" t="s">
        <v>560</v>
      </c>
      <c r="D337" s="11">
        <v>65</v>
      </c>
      <c r="E337" s="8" t="s">
        <v>661</v>
      </c>
      <c r="F337" s="12" t="s">
        <v>2</v>
      </c>
      <c r="G337" s="12" t="s">
        <v>461</v>
      </c>
      <c r="H337" s="12" t="s">
        <v>461</v>
      </c>
      <c r="I337" s="160">
        <v>0</v>
      </c>
      <c r="J337" s="15">
        <v>633322.46000000008</v>
      </c>
      <c r="K337" s="25" t="s">
        <v>461</v>
      </c>
    </row>
    <row r="338" spans="1:12" s="277" customFormat="1" x14ac:dyDescent="0.25">
      <c r="A338" s="8" t="s">
        <v>0</v>
      </c>
      <c r="B338" s="9" t="s">
        <v>1157</v>
      </c>
      <c r="C338" s="18" t="s">
        <v>4</v>
      </c>
      <c r="D338" s="11">
        <v>66</v>
      </c>
      <c r="E338" s="12" t="s">
        <v>758</v>
      </c>
      <c r="F338" s="12" t="s">
        <v>2</v>
      </c>
      <c r="G338" s="12" t="s">
        <v>461</v>
      </c>
      <c r="H338" s="12" t="s">
        <v>461</v>
      </c>
      <c r="I338" s="160">
        <v>0</v>
      </c>
      <c r="J338" s="15">
        <v>8594444.4399999995</v>
      </c>
      <c r="K338" s="25" t="s">
        <v>461</v>
      </c>
      <c r="L338" s="285"/>
    </row>
    <row r="339" spans="1:12" s="277" customFormat="1" x14ac:dyDescent="0.25">
      <c r="A339" s="8" t="s">
        <v>0</v>
      </c>
      <c r="B339" s="32" t="s">
        <v>567</v>
      </c>
      <c r="C339" s="18" t="s">
        <v>561</v>
      </c>
      <c r="D339" s="11">
        <v>92</v>
      </c>
      <c r="E339" s="12" t="s">
        <v>758</v>
      </c>
      <c r="F339" s="8" t="s">
        <v>2</v>
      </c>
      <c r="G339" s="12" t="s">
        <v>461</v>
      </c>
      <c r="H339" s="12" t="s">
        <v>461</v>
      </c>
      <c r="I339" s="160">
        <v>0</v>
      </c>
      <c r="J339" s="15">
        <v>227944.91</v>
      </c>
      <c r="K339" s="25" t="s">
        <v>461</v>
      </c>
      <c r="L339" s="285"/>
    </row>
    <row r="340" spans="1:12" s="277" customFormat="1" x14ac:dyDescent="0.25">
      <c r="A340" s="8" t="s">
        <v>0</v>
      </c>
      <c r="B340" s="39" t="s">
        <v>621</v>
      </c>
      <c r="C340" s="45" t="s">
        <v>561</v>
      </c>
      <c r="D340" s="11">
        <v>92</v>
      </c>
      <c r="E340" s="12" t="s">
        <v>758</v>
      </c>
      <c r="F340" s="8" t="s">
        <v>2</v>
      </c>
      <c r="G340" s="12" t="s">
        <v>461</v>
      </c>
      <c r="H340" s="12" t="s">
        <v>461</v>
      </c>
      <c r="I340" s="160">
        <v>0</v>
      </c>
      <c r="J340" s="15">
        <v>538230.84</v>
      </c>
      <c r="K340" s="25" t="s">
        <v>461</v>
      </c>
      <c r="L340" s="285"/>
    </row>
    <row r="341" spans="1:12" s="285" customFormat="1" x14ac:dyDescent="0.25">
      <c r="A341" s="8" t="s">
        <v>0</v>
      </c>
      <c r="B341" s="21" t="s">
        <v>655</v>
      </c>
      <c r="C341" s="44" t="s">
        <v>560</v>
      </c>
      <c r="D341" s="11" t="s">
        <v>1260</v>
      </c>
      <c r="E341" s="8" t="s">
        <v>661</v>
      </c>
      <c r="F341" s="30" t="s">
        <v>2</v>
      </c>
      <c r="G341" s="12" t="s">
        <v>461</v>
      </c>
      <c r="H341" s="12" t="s">
        <v>461</v>
      </c>
      <c r="I341" s="160">
        <v>0</v>
      </c>
      <c r="J341" s="15">
        <v>13058530.560000001</v>
      </c>
      <c r="K341" s="25" t="s">
        <v>461</v>
      </c>
    </row>
    <row r="342" spans="1:12" s="277" customFormat="1" x14ac:dyDescent="0.25">
      <c r="A342" s="8" t="s">
        <v>0</v>
      </c>
      <c r="B342" s="39" t="s">
        <v>173</v>
      </c>
      <c r="C342" s="18" t="s">
        <v>83</v>
      </c>
      <c r="D342" s="11">
        <v>42</v>
      </c>
      <c r="E342" s="12" t="s">
        <v>758</v>
      </c>
      <c r="F342" s="13" t="s">
        <v>2</v>
      </c>
      <c r="G342" s="12" t="s">
        <v>461</v>
      </c>
      <c r="H342" s="12" t="s">
        <v>461</v>
      </c>
      <c r="I342" s="160">
        <v>0</v>
      </c>
      <c r="J342" s="15">
        <v>1204166.78</v>
      </c>
      <c r="K342" s="25" t="s">
        <v>461</v>
      </c>
      <c r="L342" s="285"/>
    </row>
    <row r="343" spans="1:12" s="277" customFormat="1" x14ac:dyDescent="0.25">
      <c r="A343" s="8" t="s">
        <v>0</v>
      </c>
      <c r="B343" s="39" t="s">
        <v>550</v>
      </c>
      <c r="C343" s="19" t="s">
        <v>815</v>
      </c>
      <c r="D343" s="11">
        <v>40</v>
      </c>
      <c r="E343" s="12" t="s">
        <v>758</v>
      </c>
      <c r="F343" s="12" t="s">
        <v>2</v>
      </c>
      <c r="G343" s="12" t="s">
        <v>461</v>
      </c>
      <c r="H343" s="12" t="s">
        <v>461</v>
      </c>
      <c r="I343" s="160">
        <v>0</v>
      </c>
      <c r="J343" s="15">
        <v>32999386.32</v>
      </c>
      <c r="K343" s="25" t="s">
        <v>461</v>
      </c>
      <c r="L343" s="285"/>
    </row>
    <row r="344" spans="1:12" s="277" customFormat="1" x14ac:dyDescent="0.25">
      <c r="A344" s="8" t="s">
        <v>0</v>
      </c>
      <c r="B344" s="39" t="s">
        <v>550</v>
      </c>
      <c r="C344" s="19" t="s">
        <v>665</v>
      </c>
      <c r="D344" s="11">
        <v>40</v>
      </c>
      <c r="E344" s="12" t="s">
        <v>461</v>
      </c>
      <c r="F344" s="12" t="s">
        <v>461</v>
      </c>
      <c r="G344" s="12" t="s">
        <v>461</v>
      </c>
      <c r="H344" s="12" t="s">
        <v>461</v>
      </c>
      <c r="I344" s="160">
        <v>0</v>
      </c>
      <c r="J344" s="15">
        <v>0</v>
      </c>
      <c r="K344" s="25" t="s">
        <v>461</v>
      </c>
      <c r="L344" s="285"/>
    </row>
    <row r="345" spans="1:12" s="277" customFormat="1" x14ac:dyDescent="0.25">
      <c r="A345" s="8" t="s">
        <v>0</v>
      </c>
      <c r="B345" s="39" t="s">
        <v>174</v>
      </c>
      <c r="C345" s="18" t="s">
        <v>5</v>
      </c>
      <c r="D345" s="11" t="s">
        <v>1260</v>
      </c>
      <c r="E345" s="12" t="s">
        <v>758</v>
      </c>
      <c r="F345" s="8" t="s">
        <v>2</v>
      </c>
      <c r="G345" s="12" t="s">
        <v>461</v>
      </c>
      <c r="H345" s="12" t="s">
        <v>461</v>
      </c>
      <c r="I345" s="160">
        <v>0</v>
      </c>
      <c r="J345" s="15">
        <v>1332516.5</v>
      </c>
      <c r="K345" s="25" t="s">
        <v>461</v>
      </c>
      <c r="L345" s="285"/>
    </row>
    <row r="346" spans="1:12" s="277" customFormat="1" x14ac:dyDescent="0.25">
      <c r="A346" s="8" t="s">
        <v>0</v>
      </c>
      <c r="B346" s="39" t="s">
        <v>175</v>
      </c>
      <c r="C346" s="18" t="s">
        <v>5</v>
      </c>
      <c r="D346" s="11">
        <v>66</v>
      </c>
      <c r="E346" s="12" t="s">
        <v>758</v>
      </c>
      <c r="F346" s="12" t="s">
        <v>2</v>
      </c>
      <c r="G346" s="12" t="s">
        <v>461</v>
      </c>
      <c r="H346" s="12" t="s">
        <v>461</v>
      </c>
      <c r="I346" s="160">
        <v>0</v>
      </c>
      <c r="J346" s="15">
        <v>448105</v>
      </c>
      <c r="K346" s="25" t="s">
        <v>461</v>
      </c>
      <c r="L346" s="285"/>
    </row>
    <row r="347" spans="1:12" s="277" customFormat="1" x14ac:dyDescent="0.25">
      <c r="A347" s="8" t="s">
        <v>0</v>
      </c>
      <c r="B347" s="39" t="s">
        <v>176</v>
      </c>
      <c r="C347" s="18" t="s">
        <v>5</v>
      </c>
      <c r="D347" s="11">
        <v>66</v>
      </c>
      <c r="E347" s="12" t="s">
        <v>758</v>
      </c>
      <c r="F347" s="12" t="s">
        <v>2</v>
      </c>
      <c r="G347" s="12" t="s">
        <v>461</v>
      </c>
      <c r="H347" s="12" t="s">
        <v>461</v>
      </c>
      <c r="I347" s="160">
        <v>0</v>
      </c>
      <c r="J347" s="15">
        <v>1441222.22</v>
      </c>
      <c r="K347" s="25" t="s">
        <v>461</v>
      </c>
      <c r="L347" s="285"/>
    </row>
    <row r="348" spans="1:12" s="277" customFormat="1" x14ac:dyDescent="0.25">
      <c r="A348" s="8" t="s">
        <v>0</v>
      </c>
      <c r="B348" s="39" t="s">
        <v>177</v>
      </c>
      <c r="C348" s="18" t="s">
        <v>5</v>
      </c>
      <c r="D348" s="11"/>
      <c r="E348" s="12" t="s">
        <v>758</v>
      </c>
      <c r="F348" s="8" t="s">
        <v>2</v>
      </c>
      <c r="G348" s="12" t="s">
        <v>461</v>
      </c>
      <c r="H348" s="12" t="s">
        <v>461</v>
      </c>
      <c r="I348" s="160">
        <v>0</v>
      </c>
      <c r="J348" s="15">
        <v>6037237.5</v>
      </c>
      <c r="K348" s="25">
        <v>41320</v>
      </c>
      <c r="L348" s="285"/>
    </row>
    <row r="349" spans="1:12" s="277" customFormat="1" x14ac:dyDescent="0.25">
      <c r="A349" s="281" t="s">
        <v>0</v>
      </c>
      <c r="B349" s="253" t="s">
        <v>178</v>
      </c>
      <c r="C349" s="254" t="s">
        <v>4</v>
      </c>
      <c r="D349" s="280">
        <v>66</v>
      </c>
      <c r="E349" s="278" t="s">
        <v>758</v>
      </c>
      <c r="F349" s="12" t="s">
        <v>2</v>
      </c>
      <c r="G349" s="12" t="s">
        <v>461</v>
      </c>
      <c r="H349" s="12" t="s">
        <v>461</v>
      </c>
      <c r="I349" s="160">
        <v>0</v>
      </c>
      <c r="J349" s="15">
        <v>12347221.890000001</v>
      </c>
      <c r="K349" s="258" t="s">
        <v>461</v>
      </c>
      <c r="L349" s="285"/>
    </row>
    <row r="350" spans="1:12" s="277" customFormat="1" x14ac:dyDescent="0.25">
      <c r="A350" s="8" t="s">
        <v>0</v>
      </c>
      <c r="B350" s="39" t="s">
        <v>179</v>
      </c>
      <c r="C350" s="18" t="s">
        <v>4</v>
      </c>
      <c r="D350" s="11">
        <v>66</v>
      </c>
      <c r="E350" s="12" t="s">
        <v>758</v>
      </c>
      <c r="F350" s="12" t="s">
        <v>2</v>
      </c>
      <c r="G350" s="12" t="s">
        <v>461</v>
      </c>
      <c r="H350" s="12" t="s">
        <v>461</v>
      </c>
      <c r="I350" s="160">
        <v>0</v>
      </c>
      <c r="J350" s="15">
        <v>3211805.55</v>
      </c>
      <c r="K350" s="25" t="s">
        <v>461</v>
      </c>
      <c r="L350" s="285"/>
    </row>
    <row r="351" spans="1:12" s="277" customFormat="1" x14ac:dyDescent="0.25">
      <c r="A351" s="8" t="s">
        <v>0</v>
      </c>
      <c r="B351" s="39" t="s">
        <v>180</v>
      </c>
      <c r="C351" s="18" t="s">
        <v>4</v>
      </c>
      <c r="D351" s="11">
        <v>80</v>
      </c>
      <c r="E351" s="12" t="s">
        <v>758</v>
      </c>
      <c r="F351" s="12" t="s">
        <v>2</v>
      </c>
      <c r="G351" s="12" t="s">
        <v>461</v>
      </c>
      <c r="H351" s="12" t="s">
        <v>461</v>
      </c>
      <c r="I351" s="160">
        <v>0</v>
      </c>
      <c r="J351" s="15">
        <v>1759343.76</v>
      </c>
      <c r="K351" s="12" t="s">
        <v>461</v>
      </c>
      <c r="L351" s="285"/>
    </row>
    <row r="352" spans="1:12" s="277" customFormat="1" x14ac:dyDescent="0.25">
      <c r="A352" s="8" t="s">
        <v>0</v>
      </c>
      <c r="B352" s="39" t="s">
        <v>181</v>
      </c>
      <c r="C352" s="18" t="s">
        <v>5</v>
      </c>
      <c r="D352" s="11">
        <v>42</v>
      </c>
      <c r="E352" s="12" t="s">
        <v>759</v>
      </c>
      <c r="F352" s="12" t="s">
        <v>2</v>
      </c>
      <c r="G352" s="12" t="s">
        <v>461</v>
      </c>
      <c r="H352" s="12" t="s">
        <v>461</v>
      </c>
      <c r="I352" s="160">
        <v>0</v>
      </c>
      <c r="J352" s="15">
        <v>300642.94</v>
      </c>
      <c r="K352" s="25" t="s">
        <v>461</v>
      </c>
      <c r="L352" s="285"/>
    </row>
    <row r="353" spans="1:12" s="277" customFormat="1" x14ac:dyDescent="0.25">
      <c r="A353" s="8" t="s">
        <v>0</v>
      </c>
      <c r="B353" s="39" t="s">
        <v>182</v>
      </c>
      <c r="C353" s="18" t="s">
        <v>4</v>
      </c>
      <c r="D353" s="11">
        <v>80</v>
      </c>
      <c r="E353" s="12" t="s">
        <v>758</v>
      </c>
      <c r="F353" s="12" t="s">
        <v>2</v>
      </c>
      <c r="G353" s="12" t="s">
        <v>461</v>
      </c>
      <c r="H353" s="12" t="s">
        <v>461</v>
      </c>
      <c r="I353" s="160">
        <v>0</v>
      </c>
      <c r="J353" s="15">
        <v>3992877.27</v>
      </c>
      <c r="K353" s="25" t="s">
        <v>461</v>
      </c>
      <c r="L353" s="285"/>
    </row>
    <row r="354" spans="1:12" s="277" customFormat="1" x14ac:dyDescent="0.25">
      <c r="A354" s="8" t="s">
        <v>0</v>
      </c>
      <c r="B354" s="39" t="s">
        <v>183</v>
      </c>
      <c r="C354" s="18" t="s">
        <v>5</v>
      </c>
      <c r="D354" s="11">
        <v>65</v>
      </c>
      <c r="E354" s="12" t="s">
        <v>758</v>
      </c>
      <c r="F354" s="12" t="s">
        <v>2</v>
      </c>
      <c r="G354" s="12" t="s">
        <v>461</v>
      </c>
      <c r="H354" s="12" t="s">
        <v>461</v>
      </c>
      <c r="I354" s="160">
        <v>0</v>
      </c>
      <c r="J354" s="15">
        <v>614487.75</v>
      </c>
      <c r="K354" s="25" t="s">
        <v>461</v>
      </c>
      <c r="L354" s="285"/>
    </row>
    <row r="355" spans="1:12" s="277" customFormat="1" x14ac:dyDescent="0.25">
      <c r="A355" s="8" t="s">
        <v>0</v>
      </c>
      <c r="B355" s="32" t="s">
        <v>1376</v>
      </c>
      <c r="C355" s="18" t="s">
        <v>561</v>
      </c>
      <c r="D355" s="11">
        <v>94</v>
      </c>
      <c r="E355" s="12" t="s">
        <v>758</v>
      </c>
      <c r="F355" s="8" t="s">
        <v>2</v>
      </c>
      <c r="G355" s="12" t="s">
        <v>461</v>
      </c>
      <c r="H355" s="12" t="s">
        <v>461</v>
      </c>
      <c r="I355" s="160">
        <v>0</v>
      </c>
      <c r="J355" s="15">
        <v>2970878.3</v>
      </c>
      <c r="K355" s="25">
        <v>41320</v>
      </c>
      <c r="L355" s="285"/>
    </row>
    <row r="356" spans="1:12" s="277" customFormat="1" x14ac:dyDescent="0.25">
      <c r="A356" s="8" t="s">
        <v>0</v>
      </c>
      <c r="B356" s="9" t="s">
        <v>668</v>
      </c>
      <c r="C356" s="18" t="s">
        <v>4</v>
      </c>
      <c r="D356" s="11">
        <v>3</v>
      </c>
      <c r="E356" s="12" t="s">
        <v>758</v>
      </c>
      <c r="F356" s="12" t="s">
        <v>2</v>
      </c>
      <c r="G356" s="12" t="s">
        <v>461</v>
      </c>
      <c r="H356" s="12" t="s">
        <v>461</v>
      </c>
      <c r="I356" s="160">
        <v>0</v>
      </c>
      <c r="J356" s="15">
        <v>1308402.78</v>
      </c>
      <c r="K356" s="13" t="s">
        <v>461</v>
      </c>
      <c r="L356" s="285"/>
    </row>
    <row r="357" spans="1:12" s="277" customFormat="1" x14ac:dyDescent="0.25">
      <c r="A357" s="8" t="s">
        <v>0</v>
      </c>
      <c r="B357" s="38" t="s">
        <v>184</v>
      </c>
      <c r="C357" s="18" t="s">
        <v>4</v>
      </c>
      <c r="D357" s="11">
        <v>53</v>
      </c>
      <c r="E357" s="12" t="s">
        <v>758</v>
      </c>
      <c r="F357" s="12" t="s">
        <v>2</v>
      </c>
      <c r="G357" s="12" t="s">
        <v>461</v>
      </c>
      <c r="H357" s="12" t="s">
        <v>461</v>
      </c>
      <c r="I357" s="160">
        <v>0</v>
      </c>
      <c r="J357" s="15">
        <v>744982.44</v>
      </c>
      <c r="K357" s="12" t="s">
        <v>461</v>
      </c>
      <c r="L357" s="285"/>
    </row>
    <row r="358" spans="1:12" s="277" customFormat="1" x14ac:dyDescent="0.25">
      <c r="A358" s="8" t="s">
        <v>0</v>
      </c>
      <c r="B358" s="39" t="s">
        <v>185</v>
      </c>
      <c r="C358" s="18" t="s">
        <v>4</v>
      </c>
      <c r="D358" s="257">
        <v>80</v>
      </c>
      <c r="E358" s="12" t="s">
        <v>758</v>
      </c>
      <c r="F358" s="12" t="s">
        <v>2</v>
      </c>
      <c r="G358" s="12" t="s">
        <v>461</v>
      </c>
      <c r="H358" s="12" t="s">
        <v>461</v>
      </c>
      <c r="I358" s="160">
        <v>0</v>
      </c>
      <c r="J358" s="15">
        <v>2140685.67</v>
      </c>
      <c r="K358" s="258" t="s">
        <v>461</v>
      </c>
      <c r="L358" s="285"/>
    </row>
    <row r="359" spans="1:12" s="277" customFormat="1" x14ac:dyDescent="0.25">
      <c r="A359" s="8" t="s">
        <v>0</v>
      </c>
      <c r="B359" s="9" t="s">
        <v>716</v>
      </c>
      <c r="C359" s="18" t="s">
        <v>561</v>
      </c>
      <c r="D359" s="11">
        <v>92</v>
      </c>
      <c r="E359" s="12" t="s">
        <v>758</v>
      </c>
      <c r="F359" s="12" t="s">
        <v>2</v>
      </c>
      <c r="G359" s="12" t="s">
        <v>461</v>
      </c>
      <c r="H359" s="12" t="s">
        <v>461</v>
      </c>
      <c r="I359" s="160">
        <v>0</v>
      </c>
      <c r="J359" s="15">
        <v>3320655.56</v>
      </c>
      <c r="K359" s="25" t="s">
        <v>461</v>
      </c>
      <c r="L359" s="285"/>
    </row>
    <row r="360" spans="1:12" s="277" customFormat="1" x14ac:dyDescent="0.25">
      <c r="A360" s="8" t="s">
        <v>0</v>
      </c>
      <c r="B360" s="39" t="s">
        <v>186</v>
      </c>
      <c r="C360" s="18" t="s">
        <v>4</v>
      </c>
      <c r="D360" s="11">
        <v>80</v>
      </c>
      <c r="E360" s="12" t="s">
        <v>758</v>
      </c>
      <c r="F360" s="12" t="s">
        <v>2</v>
      </c>
      <c r="G360" s="12" t="s">
        <v>461</v>
      </c>
      <c r="H360" s="12" t="s">
        <v>461</v>
      </c>
      <c r="I360" s="160">
        <v>0</v>
      </c>
      <c r="J360" s="15">
        <v>6546862.2199999997</v>
      </c>
      <c r="K360" s="12" t="s">
        <v>461</v>
      </c>
      <c r="L360" s="285"/>
    </row>
    <row r="361" spans="1:12" s="285" customFormat="1" x14ac:dyDescent="0.25">
      <c r="A361" s="8" t="s">
        <v>0</v>
      </c>
      <c r="B361" s="39" t="s">
        <v>684</v>
      </c>
      <c r="C361" s="47" t="s">
        <v>560</v>
      </c>
      <c r="D361" s="11">
        <v>42</v>
      </c>
      <c r="E361" s="8" t="s">
        <v>661</v>
      </c>
      <c r="F361" s="30" t="s">
        <v>2</v>
      </c>
      <c r="G361" s="12" t="s">
        <v>461</v>
      </c>
      <c r="H361" s="12" t="s">
        <v>461</v>
      </c>
      <c r="I361" s="160">
        <v>0</v>
      </c>
      <c r="J361" s="15">
        <v>639738.21</v>
      </c>
      <c r="K361" s="25" t="s">
        <v>461</v>
      </c>
    </row>
    <row r="362" spans="1:12" s="277" customFormat="1" x14ac:dyDescent="0.25">
      <c r="A362" s="8" t="s">
        <v>0</v>
      </c>
      <c r="B362" s="39" t="s">
        <v>187</v>
      </c>
      <c r="C362" s="18" t="s">
        <v>561</v>
      </c>
      <c r="D362" s="11" t="s">
        <v>1260</v>
      </c>
      <c r="E362" s="12" t="s">
        <v>758</v>
      </c>
      <c r="F362" s="12" t="s">
        <v>2</v>
      </c>
      <c r="G362" s="12" t="s">
        <v>461</v>
      </c>
      <c r="H362" s="12" t="s">
        <v>461</v>
      </c>
      <c r="I362" s="160">
        <v>0</v>
      </c>
      <c r="J362" s="15">
        <v>824313</v>
      </c>
      <c r="K362" s="25" t="s">
        <v>461</v>
      </c>
      <c r="L362" s="285"/>
    </row>
    <row r="363" spans="1:12" s="277" customFormat="1" x14ac:dyDescent="0.25">
      <c r="A363" s="8" t="s">
        <v>0</v>
      </c>
      <c r="B363" s="39" t="s">
        <v>188</v>
      </c>
      <c r="C363" s="18" t="s">
        <v>4</v>
      </c>
      <c r="D363" s="17">
        <v>58</v>
      </c>
      <c r="E363" s="12" t="s">
        <v>758</v>
      </c>
      <c r="F363" s="12" t="s">
        <v>2</v>
      </c>
      <c r="G363" s="12" t="s">
        <v>461</v>
      </c>
      <c r="H363" s="12" t="s">
        <v>461</v>
      </c>
      <c r="I363" s="160">
        <v>0</v>
      </c>
      <c r="J363" s="15">
        <v>570625</v>
      </c>
      <c r="K363" s="12" t="s">
        <v>461</v>
      </c>
      <c r="L363" s="285"/>
    </row>
    <row r="364" spans="1:12" s="277" customFormat="1" x14ac:dyDescent="0.25">
      <c r="A364" s="8" t="s">
        <v>0</v>
      </c>
      <c r="B364" s="39" t="s">
        <v>189</v>
      </c>
      <c r="C364" s="18" t="s">
        <v>4</v>
      </c>
      <c r="D364" s="11">
        <v>3</v>
      </c>
      <c r="E364" s="12" t="s">
        <v>758</v>
      </c>
      <c r="F364" s="12" t="s">
        <v>2</v>
      </c>
      <c r="G364" s="12" t="s">
        <v>461</v>
      </c>
      <c r="H364" s="12" t="s">
        <v>461</v>
      </c>
      <c r="I364" s="160">
        <v>0</v>
      </c>
      <c r="J364" s="15">
        <v>4677777.78</v>
      </c>
      <c r="K364" s="25" t="s">
        <v>461</v>
      </c>
      <c r="L364" s="285"/>
    </row>
    <row r="365" spans="1:12" s="285" customFormat="1" x14ac:dyDescent="0.25">
      <c r="A365" s="8" t="s">
        <v>0</v>
      </c>
      <c r="B365" s="39" t="s">
        <v>629</v>
      </c>
      <c r="C365" s="45" t="s">
        <v>560</v>
      </c>
      <c r="D365" s="11">
        <v>65</v>
      </c>
      <c r="E365" s="8" t="s">
        <v>661</v>
      </c>
      <c r="F365" s="12" t="s">
        <v>2</v>
      </c>
      <c r="G365" s="12" t="s">
        <v>461</v>
      </c>
      <c r="H365" s="12" t="s">
        <v>461</v>
      </c>
      <c r="I365" s="160">
        <v>0</v>
      </c>
      <c r="J365" s="15">
        <v>694280.34000000008</v>
      </c>
      <c r="K365" s="25" t="s">
        <v>461</v>
      </c>
    </row>
    <row r="366" spans="1:12" s="277" customFormat="1" x14ac:dyDescent="0.25">
      <c r="A366" s="8" t="s">
        <v>0</v>
      </c>
      <c r="B366" s="39" t="s">
        <v>190</v>
      </c>
      <c r="C366" s="18" t="s">
        <v>4</v>
      </c>
      <c r="D366" s="11">
        <v>80</v>
      </c>
      <c r="E366" s="12" t="s">
        <v>758</v>
      </c>
      <c r="F366" s="13" t="s">
        <v>2</v>
      </c>
      <c r="G366" s="12" t="s">
        <v>461</v>
      </c>
      <c r="H366" s="12" t="s">
        <v>461</v>
      </c>
      <c r="I366" s="160">
        <v>0</v>
      </c>
      <c r="J366" s="15">
        <v>10815494.439999999</v>
      </c>
      <c r="K366" s="25" t="s">
        <v>461</v>
      </c>
      <c r="L366" s="285"/>
    </row>
    <row r="367" spans="1:12" s="277" customFormat="1" x14ac:dyDescent="0.25">
      <c r="A367" s="8" t="s">
        <v>0</v>
      </c>
      <c r="B367" s="39" t="s">
        <v>191</v>
      </c>
      <c r="C367" s="18" t="s">
        <v>4</v>
      </c>
      <c r="D367" s="11"/>
      <c r="E367" s="12" t="s">
        <v>758</v>
      </c>
      <c r="F367" s="8" t="s">
        <v>2</v>
      </c>
      <c r="G367" s="12" t="s">
        <v>461</v>
      </c>
      <c r="H367" s="12" t="s">
        <v>461</v>
      </c>
      <c r="I367" s="160">
        <v>0</v>
      </c>
      <c r="J367" s="15">
        <v>1600000</v>
      </c>
      <c r="K367" s="25">
        <v>41320</v>
      </c>
      <c r="L367" s="285"/>
    </row>
    <row r="368" spans="1:12" s="277" customFormat="1" x14ac:dyDescent="0.25">
      <c r="A368" s="8" t="s">
        <v>0</v>
      </c>
      <c r="B368" s="9" t="s">
        <v>722</v>
      </c>
      <c r="C368" s="18" t="s">
        <v>561</v>
      </c>
      <c r="D368" s="11">
        <v>92</v>
      </c>
      <c r="E368" s="12" t="s">
        <v>758</v>
      </c>
      <c r="F368" s="12" t="s">
        <v>2</v>
      </c>
      <c r="G368" s="12" t="s">
        <v>461</v>
      </c>
      <c r="H368" s="12" t="s">
        <v>461</v>
      </c>
      <c r="I368" s="160">
        <v>0</v>
      </c>
      <c r="J368" s="15">
        <v>1320734.92</v>
      </c>
      <c r="K368" s="25" t="s">
        <v>461</v>
      </c>
      <c r="L368" s="285"/>
    </row>
    <row r="369" spans="1:12" s="277" customFormat="1" x14ac:dyDescent="0.25">
      <c r="A369" s="8" t="s">
        <v>0</v>
      </c>
      <c r="B369" s="39" t="s">
        <v>192</v>
      </c>
      <c r="C369" s="18" t="s">
        <v>561</v>
      </c>
      <c r="D369" s="17">
        <v>92</v>
      </c>
      <c r="E369" s="12" t="s">
        <v>758</v>
      </c>
      <c r="F369" s="8" t="s">
        <v>2</v>
      </c>
      <c r="G369" s="12" t="s">
        <v>461</v>
      </c>
      <c r="H369" s="12" t="s">
        <v>461</v>
      </c>
      <c r="I369" s="160">
        <v>0</v>
      </c>
      <c r="J369" s="15">
        <v>1517766.09</v>
      </c>
      <c r="K369" s="25" t="s">
        <v>461</v>
      </c>
      <c r="L369" s="285"/>
    </row>
    <row r="370" spans="1:12" s="277" customFormat="1" x14ac:dyDescent="0.25">
      <c r="A370" s="8" t="s">
        <v>0</v>
      </c>
      <c r="B370" s="9" t="s">
        <v>675</v>
      </c>
      <c r="C370" s="18" t="s">
        <v>561</v>
      </c>
      <c r="D370" s="11">
        <v>65</v>
      </c>
      <c r="E370" s="12" t="s">
        <v>758</v>
      </c>
      <c r="F370" s="12" t="s">
        <v>2</v>
      </c>
      <c r="G370" s="12" t="s">
        <v>461</v>
      </c>
      <c r="H370" s="12" t="s">
        <v>461</v>
      </c>
      <c r="I370" s="160">
        <v>0</v>
      </c>
      <c r="J370" s="15">
        <v>2330476.6599999997</v>
      </c>
      <c r="K370" s="25" t="s">
        <v>461</v>
      </c>
      <c r="L370" s="285"/>
    </row>
    <row r="371" spans="1:12" s="277" customFormat="1" x14ac:dyDescent="0.25">
      <c r="A371" s="8" t="s">
        <v>0</v>
      </c>
      <c r="B371" s="39" t="s">
        <v>193</v>
      </c>
      <c r="C371" s="18" t="s">
        <v>4</v>
      </c>
      <c r="D371" s="11" t="s">
        <v>1260</v>
      </c>
      <c r="E371" s="12" t="s">
        <v>758</v>
      </c>
      <c r="F371" s="12" t="s">
        <v>2</v>
      </c>
      <c r="G371" s="12" t="s">
        <v>461</v>
      </c>
      <c r="H371" s="12" t="s">
        <v>461</v>
      </c>
      <c r="I371" s="160">
        <v>0</v>
      </c>
      <c r="J371" s="15">
        <v>91227405.557777777</v>
      </c>
      <c r="K371" s="25" t="s">
        <v>461</v>
      </c>
      <c r="L371" s="285"/>
    </row>
    <row r="372" spans="1:12" s="277" customFormat="1" x14ac:dyDescent="0.25">
      <c r="A372" s="8" t="s">
        <v>0</v>
      </c>
      <c r="B372" s="9" t="s">
        <v>674</v>
      </c>
      <c r="C372" s="19" t="s">
        <v>83</v>
      </c>
      <c r="D372" s="11">
        <v>92</v>
      </c>
      <c r="E372" s="12" t="s">
        <v>758</v>
      </c>
      <c r="F372" s="8" t="s">
        <v>2</v>
      </c>
      <c r="G372" s="12" t="s">
        <v>461</v>
      </c>
      <c r="H372" s="12" t="s">
        <v>461</v>
      </c>
      <c r="I372" s="160">
        <v>0</v>
      </c>
      <c r="J372" s="15">
        <v>533581.96</v>
      </c>
      <c r="K372" s="25" t="s">
        <v>461</v>
      </c>
      <c r="L372" s="285"/>
    </row>
    <row r="373" spans="1:12" s="277" customFormat="1" x14ac:dyDescent="0.25">
      <c r="A373" s="8" t="s">
        <v>0</v>
      </c>
      <c r="B373" s="39" t="s">
        <v>194</v>
      </c>
      <c r="C373" s="18" t="s">
        <v>561</v>
      </c>
      <c r="D373" s="11"/>
      <c r="E373" s="12" t="s">
        <v>759</v>
      </c>
      <c r="F373" s="8" t="s">
        <v>2</v>
      </c>
      <c r="G373" s="12" t="s">
        <v>461</v>
      </c>
      <c r="H373" s="12" t="s">
        <v>461</v>
      </c>
      <c r="I373" s="160">
        <v>0</v>
      </c>
      <c r="J373" s="15">
        <v>757453.89</v>
      </c>
      <c r="K373" s="25">
        <v>41320</v>
      </c>
      <c r="L373" s="285"/>
    </row>
    <row r="374" spans="1:12" s="277" customFormat="1" x14ac:dyDescent="0.25">
      <c r="A374" s="8" t="s">
        <v>0</v>
      </c>
      <c r="B374" s="39" t="s">
        <v>195</v>
      </c>
      <c r="C374" s="18" t="s">
        <v>4</v>
      </c>
      <c r="D374" s="11" t="s">
        <v>1260</v>
      </c>
      <c r="E374" s="12" t="s">
        <v>758</v>
      </c>
      <c r="F374" s="12" t="s">
        <v>2</v>
      </c>
      <c r="G374" s="12" t="s">
        <v>461</v>
      </c>
      <c r="H374" s="12" t="s">
        <v>461</v>
      </c>
      <c r="I374" s="160">
        <v>0</v>
      </c>
      <c r="J374" s="15">
        <v>659722.22</v>
      </c>
      <c r="K374" s="25" t="s">
        <v>461</v>
      </c>
      <c r="L374" s="285"/>
    </row>
    <row r="375" spans="1:12" s="277" customFormat="1" x14ac:dyDescent="0.25">
      <c r="A375" s="8" t="s">
        <v>0</v>
      </c>
      <c r="B375" s="39" t="s">
        <v>196</v>
      </c>
      <c r="C375" s="18" t="s">
        <v>4</v>
      </c>
      <c r="D375" s="11">
        <v>42</v>
      </c>
      <c r="E375" s="12" t="s">
        <v>758</v>
      </c>
      <c r="F375" s="12" t="s">
        <v>2</v>
      </c>
      <c r="G375" s="12" t="s">
        <v>461</v>
      </c>
      <c r="H375" s="12" t="s">
        <v>461</v>
      </c>
      <c r="I375" s="160">
        <v>0</v>
      </c>
      <c r="J375" s="15">
        <v>2383333.3333333335</v>
      </c>
      <c r="K375" s="25" t="s">
        <v>461</v>
      </c>
      <c r="L375" s="285"/>
    </row>
    <row r="376" spans="1:12" s="277" customFormat="1" x14ac:dyDescent="0.25">
      <c r="A376" s="8" t="s">
        <v>0</v>
      </c>
      <c r="B376" s="39" t="s">
        <v>197</v>
      </c>
      <c r="C376" s="18" t="s">
        <v>561</v>
      </c>
      <c r="D376" s="11" t="s">
        <v>1260</v>
      </c>
      <c r="E376" s="12" t="s">
        <v>758</v>
      </c>
      <c r="F376" s="12" t="s">
        <v>2</v>
      </c>
      <c r="G376" s="12" t="s">
        <v>461</v>
      </c>
      <c r="H376" s="12" t="s">
        <v>461</v>
      </c>
      <c r="I376" s="160">
        <v>0</v>
      </c>
      <c r="J376" s="15">
        <v>237983.33</v>
      </c>
      <c r="K376" s="13" t="s">
        <v>461</v>
      </c>
      <c r="L376" s="285"/>
    </row>
    <row r="377" spans="1:12" s="250" customFormat="1" x14ac:dyDescent="0.25">
      <c r="A377" s="8" t="s">
        <v>0</v>
      </c>
      <c r="B377" s="9" t="s">
        <v>742</v>
      </c>
      <c r="C377" s="18" t="s">
        <v>561</v>
      </c>
      <c r="D377" s="11">
        <v>21</v>
      </c>
      <c r="E377" s="12" t="s">
        <v>759</v>
      </c>
      <c r="F377" s="12" t="s">
        <v>2</v>
      </c>
      <c r="G377" s="12" t="s">
        <v>461</v>
      </c>
      <c r="H377" s="12" t="s">
        <v>461</v>
      </c>
      <c r="I377" s="160">
        <v>0</v>
      </c>
      <c r="J377" s="15">
        <v>1821889.33</v>
      </c>
      <c r="K377" s="25" t="s">
        <v>461</v>
      </c>
      <c r="L377" s="285"/>
    </row>
    <row r="378" spans="1:12" s="277" customFormat="1" x14ac:dyDescent="0.25">
      <c r="A378" s="8" t="s">
        <v>0</v>
      </c>
      <c r="B378" s="9" t="s">
        <v>1186</v>
      </c>
      <c r="C378" s="19" t="s">
        <v>83</v>
      </c>
      <c r="D378" s="17" t="s">
        <v>1270</v>
      </c>
      <c r="E378" s="12" t="s">
        <v>758</v>
      </c>
      <c r="F378" s="12" t="s">
        <v>2</v>
      </c>
      <c r="G378" s="12" t="s">
        <v>461</v>
      </c>
      <c r="H378" s="12" t="s">
        <v>461</v>
      </c>
      <c r="I378" s="160">
        <v>0</v>
      </c>
      <c r="J378" s="15">
        <v>3417970.02</v>
      </c>
      <c r="K378" s="25" t="s">
        <v>461</v>
      </c>
      <c r="L378" s="285"/>
    </row>
    <row r="379" spans="1:12" s="277" customFormat="1" x14ac:dyDescent="0.25">
      <c r="A379" s="8" t="s">
        <v>0</v>
      </c>
      <c r="B379" s="39" t="s">
        <v>198</v>
      </c>
      <c r="C379" s="18" t="s">
        <v>561</v>
      </c>
      <c r="D379" s="11">
        <v>65</v>
      </c>
      <c r="E379" s="12" t="s">
        <v>758</v>
      </c>
      <c r="F379" s="12" t="s">
        <v>2</v>
      </c>
      <c r="G379" s="12" t="s">
        <v>461</v>
      </c>
      <c r="H379" s="12" t="s">
        <v>461</v>
      </c>
      <c r="I379" s="160">
        <v>0</v>
      </c>
      <c r="J379" s="15">
        <v>676865</v>
      </c>
      <c r="K379" s="25" t="s">
        <v>461</v>
      </c>
      <c r="L379" s="285"/>
    </row>
    <row r="380" spans="1:12" s="277" customFormat="1" x14ac:dyDescent="0.25">
      <c r="A380" s="8" t="s">
        <v>0</v>
      </c>
      <c r="B380" s="39" t="s">
        <v>199</v>
      </c>
      <c r="C380" s="18" t="s">
        <v>4</v>
      </c>
      <c r="D380" s="17" t="s">
        <v>1158</v>
      </c>
      <c r="E380" s="12" t="s">
        <v>758</v>
      </c>
      <c r="F380" s="12" t="s">
        <v>2</v>
      </c>
      <c r="G380" s="12" t="s">
        <v>461</v>
      </c>
      <c r="H380" s="12" t="s">
        <v>461</v>
      </c>
      <c r="I380" s="160">
        <v>0</v>
      </c>
      <c r="J380" s="15">
        <v>12167110.67</v>
      </c>
      <c r="K380" s="25" t="s">
        <v>461</v>
      </c>
      <c r="L380" s="285"/>
    </row>
    <row r="381" spans="1:12" s="277" customFormat="1" x14ac:dyDescent="0.25">
      <c r="A381" s="8" t="s">
        <v>0</v>
      </c>
      <c r="B381" s="39" t="s">
        <v>199</v>
      </c>
      <c r="C381" s="19" t="s">
        <v>669</v>
      </c>
      <c r="D381" s="17" t="s">
        <v>1158</v>
      </c>
      <c r="E381" s="12" t="s">
        <v>758</v>
      </c>
      <c r="F381" s="12" t="s">
        <v>2</v>
      </c>
      <c r="G381" s="12" t="s">
        <v>461</v>
      </c>
      <c r="H381" s="12" t="s">
        <v>461</v>
      </c>
      <c r="I381" s="160">
        <v>0</v>
      </c>
      <c r="J381" s="15">
        <v>2848444.44</v>
      </c>
      <c r="K381" s="25" t="s">
        <v>461</v>
      </c>
      <c r="L381" s="285"/>
    </row>
    <row r="382" spans="1:12" s="277" customFormat="1" x14ac:dyDescent="0.25">
      <c r="A382" s="281" t="s">
        <v>0</v>
      </c>
      <c r="B382" s="253" t="s">
        <v>200</v>
      </c>
      <c r="C382" s="254" t="s">
        <v>4</v>
      </c>
      <c r="D382" s="280" t="s">
        <v>1260</v>
      </c>
      <c r="E382" s="278" t="s">
        <v>758</v>
      </c>
      <c r="F382" s="12" t="s">
        <v>2</v>
      </c>
      <c r="G382" s="12" t="s">
        <v>461</v>
      </c>
      <c r="H382" s="12" t="s">
        <v>461</v>
      </c>
      <c r="I382" s="160">
        <v>0</v>
      </c>
      <c r="J382" s="15">
        <v>28628333.330000002</v>
      </c>
      <c r="K382" s="258" t="s">
        <v>461</v>
      </c>
      <c r="L382" s="285"/>
    </row>
    <row r="383" spans="1:12" s="277" customFormat="1" x14ac:dyDescent="0.25">
      <c r="A383" s="8" t="s">
        <v>0</v>
      </c>
      <c r="B383" s="39" t="s">
        <v>201</v>
      </c>
      <c r="C383" s="18" t="s">
        <v>561</v>
      </c>
      <c r="D383" s="280">
        <v>80</v>
      </c>
      <c r="E383" s="12" t="s">
        <v>758</v>
      </c>
      <c r="F383" s="8" t="s">
        <v>2</v>
      </c>
      <c r="G383" s="12" t="s">
        <v>461</v>
      </c>
      <c r="H383" s="12" t="s">
        <v>461</v>
      </c>
      <c r="I383" s="160">
        <v>0</v>
      </c>
      <c r="J383" s="15">
        <v>2621903</v>
      </c>
      <c r="K383" s="258" t="s">
        <v>461</v>
      </c>
      <c r="L383" s="285"/>
    </row>
    <row r="384" spans="1:12" s="277" customFormat="1" x14ac:dyDescent="0.25">
      <c r="A384" s="8" t="s">
        <v>0</v>
      </c>
      <c r="B384" s="39" t="s">
        <v>202</v>
      </c>
      <c r="C384" s="18" t="s">
        <v>561</v>
      </c>
      <c r="D384" s="11">
        <v>65</v>
      </c>
      <c r="E384" s="12" t="s">
        <v>758</v>
      </c>
      <c r="F384" s="12" t="s">
        <v>2</v>
      </c>
      <c r="G384" s="12" t="s">
        <v>461</v>
      </c>
      <c r="H384" s="12" t="s">
        <v>461</v>
      </c>
      <c r="I384" s="160">
        <v>0</v>
      </c>
      <c r="J384" s="15">
        <v>2305989.56</v>
      </c>
      <c r="K384" s="25" t="s">
        <v>461</v>
      </c>
      <c r="L384" s="285"/>
    </row>
    <row r="385" spans="1:12" s="277" customFormat="1" x14ac:dyDescent="0.25">
      <c r="A385" s="8" t="s">
        <v>0</v>
      </c>
      <c r="B385" s="9" t="s">
        <v>811</v>
      </c>
      <c r="C385" s="18" t="s">
        <v>4</v>
      </c>
      <c r="D385" s="11">
        <v>3</v>
      </c>
      <c r="E385" s="12" t="s">
        <v>758</v>
      </c>
      <c r="F385" s="12" t="s">
        <v>2</v>
      </c>
      <c r="G385" s="12" t="s">
        <v>461</v>
      </c>
      <c r="H385" s="12" t="s">
        <v>461</v>
      </c>
      <c r="I385" s="160">
        <v>0</v>
      </c>
      <c r="J385" s="15">
        <v>4753618</v>
      </c>
      <c r="K385" s="13" t="s">
        <v>461</v>
      </c>
      <c r="L385" s="285"/>
    </row>
    <row r="386" spans="1:12" s="277" customFormat="1" x14ac:dyDescent="0.25">
      <c r="A386" s="8" t="s">
        <v>0</v>
      </c>
      <c r="B386" s="39" t="s">
        <v>203</v>
      </c>
      <c r="C386" s="18" t="s">
        <v>4</v>
      </c>
      <c r="D386" s="11">
        <v>65</v>
      </c>
      <c r="E386" s="12" t="s">
        <v>758</v>
      </c>
      <c r="F386" s="12" t="s">
        <v>2</v>
      </c>
      <c r="G386" s="12" t="s">
        <v>461</v>
      </c>
      <c r="H386" s="12" t="s">
        <v>461</v>
      </c>
      <c r="I386" s="160">
        <v>0</v>
      </c>
      <c r="J386" s="15">
        <v>2178580.33</v>
      </c>
      <c r="K386" s="25" t="s">
        <v>461</v>
      </c>
      <c r="L386" s="285"/>
    </row>
    <row r="387" spans="1:12" s="277" customFormat="1" x14ac:dyDescent="0.25">
      <c r="A387" s="8" t="s">
        <v>0</v>
      </c>
      <c r="B387" s="39" t="s">
        <v>204</v>
      </c>
      <c r="C387" s="18" t="s">
        <v>4</v>
      </c>
      <c r="D387" s="11" t="s">
        <v>1260</v>
      </c>
      <c r="E387" s="12" t="s">
        <v>758</v>
      </c>
      <c r="F387" s="12" t="s">
        <v>2</v>
      </c>
      <c r="G387" s="12" t="s">
        <v>461</v>
      </c>
      <c r="H387" s="12" t="s">
        <v>461</v>
      </c>
      <c r="I387" s="160">
        <v>0</v>
      </c>
      <c r="J387" s="15">
        <v>1994333.3399999999</v>
      </c>
      <c r="K387" s="25" t="s">
        <v>461</v>
      </c>
      <c r="L387" s="285"/>
    </row>
    <row r="388" spans="1:12" s="277" customFormat="1" x14ac:dyDescent="0.25">
      <c r="A388" s="8" t="s">
        <v>0</v>
      </c>
      <c r="B388" s="39" t="s">
        <v>205</v>
      </c>
      <c r="C388" s="18" t="s">
        <v>4</v>
      </c>
      <c r="D388" s="11" t="s">
        <v>738</v>
      </c>
      <c r="E388" s="12" t="s">
        <v>758</v>
      </c>
      <c r="F388" s="8" t="s">
        <v>2</v>
      </c>
      <c r="G388" s="12" t="s">
        <v>461</v>
      </c>
      <c r="H388" s="12" t="s">
        <v>461</v>
      </c>
      <c r="I388" s="160">
        <v>0</v>
      </c>
      <c r="J388" s="15">
        <v>7009094.5</v>
      </c>
      <c r="K388" s="25" t="s">
        <v>461</v>
      </c>
      <c r="L388" s="285"/>
    </row>
    <row r="389" spans="1:12" s="277" customFormat="1" x14ac:dyDescent="0.25">
      <c r="A389" s="8" t="s">
        <v>0</v>
      </c>
      <c r="B389" s="39" t="s">
        <v>206</v>
      </c>
      <c r="C389" s="18" t="s">
        <v>561</v>
      </c>
      <c r="D389" s="11"/>
      <c r="E389" s="12" t="s">
        <v>758</v>
      </c>
      <c r="F389" s="8" t="s">
        <v>2</v>
      </c>
      <c r="G389" s="12" t="s">
        <v>461</v>
      </c>
      <c r="H389" s="12" t="s">
        <v>461</v>
      </c>
      <c r="I389" s="160">
        <v>0</v>
      </c>
      <c r="J389" s="15">
        <v>1600719</v>
      </c>
      <c r="K389" s="25">
        <v>41320</v>
      </c>
      <c r="L389" s="285"/>
    </row>
    <row r="390" spans="1:12" s="277" customFormat="1" x14ac:dyDescent="0.25">
      <c r="A390" s="8" t="s">
        <v>0</v>
      </c>
      <c r="B390" s="39" t="s">
        <v>207</v>
      </c>
      <c r="C390" s="18" t="s">
        <v>561</v>
      </c>
      <c r="D390" s="11"/>
      <c r="E390" s="12" t="s">
        <v>758</v>
      </c>
      <c r="F390" s="8" t="s">
        <v>2</v>
      </c>
      <c r="G390" s="12" t="s">
        <v>461</v>
      </c>
      <c r="H390" s="12" t="s">
        <v>461</v>
      </c>
      <c r="I390" s="160">
        <v>0</v>
      </c>
      <c r="J390" s="15">
        <v>2042406</v>
      </c>
      <c r="K390" s="25">
        <v>41320</v>
      </c>
      <c r="L390" s="285"/>
    </row>
    <row r="391" spans="1:12" s="277" customFormat="1" x14ac:dyDescent="0.25">
      <c r="A391" s="8" t="s">
        <v>0</v>
      </c>
      <c r="B391" s="39" t="s">
        <v>208</v>
      </c>
      <c r="C391" s="18" t="s">
        <v>561</v>
      </c>
      <c r="D391" s="11">
        <v>66</v>
      </c>
      <c r="E391" s="12" t="s">
        <v>759</v>
      </c>
      <c r="F391" s="12" t="s">
        <v>2</v>
      </c>
      <c r="G391" s="12" t="s">
        <v>461</v>
      </c>
      <c r="H391" s="12" t="s">
        <v>461</v>
      </c>
      <c r="I391" s="160">
        <v>0</v>
      </c>
      <c r="J391" s="15">
        <v>584793.59999999998</v>
      </c>
      <c r="K391" s="25" t="s">
        <v>461</v>
      </c>
      <c r="L391" s="285"/>
    </row>
    <row r="392" spans="1:12" s="277" customFormat="1" x14ac:dyDescent="0.25">
      <c r="A392" s="8" t="s">
        <v>0</v>
      </c>
      <c r="B392" s="39" t="s">
        <v>209</v>
      </c>
      <c r="C392" s="18" t="s">
        <v>4</v>
      </c>
      <c r="D392" s="11"/>
      <c r="E392" s="12" t="s">
        <v>758</v>
      </c>
      <c r="F392" s="8" t="s">
        <v>2</v>
      </c>
      <c r="G392" s="12" t="s">
        <v>461</v>
      </c>
      <c r="H392" s="12" t="s">
        <v>461</v>
      </c>
      <c r="I392" s="160">
        <v>0</v>
      </c>
      <c r="J392" s="15">
        <v>1402500</v>
      </c>
      <c r="K392" s="25">
        <v>41320</v>
      </c>
      <c r="L392" s="285"/>
    </row>
    <row r="393" spans="1:12" s="277" customFormat="1" x14ac:dyDescent="0.25">
      <c r="A393" s="8" t="s">
        <v>0</v>
      </c>
      <c r="B393" s="39" t="s">
        <v>210</v>
      </c>
      <c r="C393" s="18" t="s">
        <v>4</v>
      </c>
      <c r="D393" s="11"/>
      <c r="E393" s="12" t="s">
        <v>759</v>
      </c>
      <c r="F393" s="8" t="s">
        <v>2</v>
      </c>
      <c r="G393" s="12" t="s">
        <v>461</v>
      </c>
      <c r="H393" s="12" t="s">
        <v>461</v>
      </c>
      <c r="I393" s="160">
        <v>0</v>
      </c>
      <c r="J393" s="15">
        <v>330944.44</v>
      </c>
      <c r="K393" s="25">
        <v>41320</v>
      </c>
      <c r="L393" s="285"/>
    </row>
    <row r="394" spans="1:12" s="285" customFormat="1" x14ac:dyDescent="0.25">
      <c r="A394" s="281" t="s">
        <v>0</v>
      </c>
      <c r="B394" s="245" t="s">
        <v>657</v>
      </c>
      <c r="C394" s="276" t="s">
        <v>560</v>
      </c>
      <c r="D394" s="280" t="s">
        <v>1260</v>
      </c>
      <c r="E394" s="281" t="s">
        <v>661</v>
      </c>
      <c r="F394" s="247" t="s">
        <v>2</v>
      </c>
      <c r="G394" s="12" t="s">
        <v>461</v>
      </c>
      <c r="H394" s="12" t="s">
        <v>461</v>
      </c>
      <c r="I394" s="160">
        <v>0</v>
      </c>
      <c r="J394" s="15">
        <v>12932450.939999999</v>
      </c>
      <c r="K394" s="258" t="s">
        <v>461</v>
      </c>
    </row>
    <row r="395" spans="1:12" s="277" customFormat="1" x14ac:dyDescent="0.25">
      <c r="A395" s="8" t="s">
        <v>0</v>
      </c>
      <c r="B395" s="39" t="s">
        <v>211</v>
      </c>
      <c r="C395" s="18" t="s">
        <v>561</v>
      </c>
      <c r="D395" s="11" t="s">
        <v>1260</v>
      </c>
      <c r="E395" s="12" t="s">
        <v>758</v>
      </c>
      <c r="F395" s="12" t="s">
        <v>2</v>
      </c>
      <c r="G395" s="12" t="s">
        <v>461</v>
      </c>
      <c r="H395" s="12" t="s">
        <v>461</v>
      </c>
      <c r="I395" s="160">
        <v>0</v>
      </c>
      <c r="J395" s="15">
        <v>818468.31</v>
      </c>
      <c r="K395" s="25" t="s">
        <v>461</v>
      </c>
      <c r="L395" s="285"/>
    </row>
    <row r="396" spans="1:12" s="277" customFormat="1" x14ac:dyDescent="0.25">
      <c r="A396" s="8" t="s">
        <v>0</v>
      </c>
      <c r="B396" s="39" t="s">
        <v>212</v>
      </c>
      <c r="C396" s="18" t="s">
        <v>5</v>
      </c>
      <c r="D396" s="11"/>
      <c r="E396" s="12" t="s">
        <v>758</v>
      </c>
      <c r="F396" s="8" t="s">
        <v>2</v>
      </c>
      <c r="G396" s="12" t="s">
        <v>461</v>
      </c>
      <c r="H396" s="12" t="s">
        <v>461</v>
      </c>
      <c r="I396" s="160">
        <v>0</v>
      </c>
      <c r="J396" s="15">
        <v>207327</v>
      </c>
      <c r="K396" s="25">
        <v>41320</v>
      </c>
      <c r="L396" s="285"/>
    </row>
    <row r="397" spans="1:12" s="277" customFormat="1" x14ac:dyDescent="0.25">
      <c r="A397" s="8" t="s">
        <v>0</v>
      </c>
      <c r="B397" s="39" t="s">
        <v>213</v>
      </c>
      <c r="C397" s="18" t="s">
        <v>5</v>
      </c>
      <c r="D397" s="11" t="s">
        <v>1260</v>
      </c>
      <c r="E397" s="12" t="s">
        <v>759</v>
      </c>
      <c r="F397" s="12" t="s">
        <v>2</v>
      </c>
      <c r="G397" s="12" t="s">
        <v>461</v>
      </c>
      <c r="H397" s="12" t="s">
        <v>461</v>
      </c>
      <c r="I397" s="160">
        <v>0</v>
      </c>
      <c r="J397" s="15">
        <v>45086.559999999998</v>
      </c>
      <c r="K397" s="25" t="s">
        <v>461</v>
      </c>
      <c r="L397" s="285"/>
    </row>
    <row r="398" spans="1:12" s="277" customFormat="1" x14ac:dyDescent="0.25">
      <c r="A398" s="8" t="s">
        <v>0</v>
      </c>
      <c r="B398" s="39" t="s">
        <v>214</v>
      </c>
      <c r="C398" s="18" t="s">
        <v>5</v>
      </c>
      <c r="D398" s="11">
        <v>65</v>
      </c>
      <c r="E398" s="12" t="s">
        <v>758</v>
      </c>
      <c r="F398" s="12" t="s">
        <v>2</v>
      </c>
      <c r="G398" s="12" t="s">
        <v>461</v>
      </c>
      <c r="H398" s="12" t="s">
        <v>461</v>
      </c>
      <c r="I398" s="160">
        <v>0</v>
      </c>
      <c r="J398" s="15">
        <v>1862389</v>
      </c>
      <c r="K398" s="25" t="s">
        <v>461</v>
      </c>
      <c r="L398" s="285"/>
    </row>
    <row r="399" spans="1:12" s="285" customFormat="1" x14ac:dyDescent="0.25">
      <c r="A399" s="8" t="s">
        <v>0</v>
      </c>
      <c r="B399" s="39" t="s">
        <v>627</v>
      </c>
      <c r="C399" s="45" t="s">
        <v>560</v>
      </c>
      <c r="D399" s="18"/>
      <c r="E399" s="8" t="s">
        <v>661</v>
      </c>
      <c r="F399" s="30" t="s">
        <v>2</v>
      </c>
      <c r="G399" s="12" t="s">
        <v>461</v>
      </c>
      <c r="H399" s="12" t="s">
        <v>461</v>
      </c>
      <c r="I399" s="160">
        <v>0</v>
      </c>
      <c r="J399" s="15">
        <v>1046896.4</v>
      </c>
      <c r="K399" s="25">
        <v>41320</v>
      </c>
    </row>
    <row r="400" spans="1:12" s="277" customFormat="1" x14ac:dyDescent="0.25">
      <c r="A400" s="8" t="s">
        <v>0</v>
      </c>
      <c r="B400" s="39" t="s">
        <v>215</v>
      </c>
      <c r="C400" s="18" t="s">
        <v>5</v>
      </c>
      <c r="D400" s="11" t="s">
        <v>1260</v>
      </c>
      <c r="E400" s="12" t="s">
        <v>758</v>
      </c>
      <c r="F400" s="12" t="s">
        <v>2</v>
      </c>
      <c r="G400" s="12" t="s">
        <v>461</v>
      </c>
      <c r="H400" s="12" t="s">
        <v>461</v>
      </c>
      <c r="I400" s="160">
        <v>0</v>
      </c>
      <c r="J400" s="15">
        <v>66020.69</v>
      </c>
      <c r="K400" s="13" t="s">
        <v>461</v>
      </c>
      <c r="L400" s="285"/>
    </row>
    <row r="401" spans="1:12" s="277" customFormat="1" x14ac:dyDescent="0.25">
      <c r="A401" s="8" t="s">
        <v>0</v>
      </c>
      <c r="B401" s="39" t="s">
        <v>216</v>
      </c>
      <c r="C401" s="18" t="s">
        <v>4</v>
      </c>
      <c r="D401" s="11"/>
      <c r="E401" s="12" t="s">
        <v>758</v>
      </c>
      <c r="F401" s="8" t="s">
        <v>2</v>
      </c>
      <c r="G401" s="12" t="s">
        <v>461</v>
      </c>
      <c r="H401" s="12" t="s">
        <v>461</v>
      </c>
      <c r="I401" s="160">
        <v>0</v>
      </c>
      <c r="J401" s="15">
        <v>2312500</v>
      </c>
      <c r="K401" s="25">
        <v>41320</v>
      </c>
      <c r="L401" s="285"/>
    </row>
    <row r="402" spans="1:12" s="277" customFormat="1" x14ac:dyDescent="0.25">
      <c r="A402" s="8" t="s">
        <v>0</v>
      </c>
      <c r="B402" s="39" t="s">
        <v>612</v>
      </c>
      <c r="C402" s="45" t="s">
        <v>561</v>
      </c>
      <c r="D402" s="11">
        <v>42</v>
      </c>
      <c r="E402" s="12" t="s">
        <v>758</v>
      </c>
      <c r="F402" s="12" t="s">
        <v>2</v>
      </c>
      <c r="G402" s="12" t="s">
        <v>461</v>
      </c>
      <c r="H402" s="12" t="s">
        <v>461</v>
      </c>
      <c r="I402" s="160">
        <v>0</v>
      </c>
      <c r="J402" s="15">
        <v>417770.41666666669</v>
      </c>
      <c r="K402" s="25" t="s">
        <v>461</v>
      </c>
      <c r="L402" s="285"/>
    </row>
    <row r="403" spans="1:12" s="277" customFormat="1" x14ac:dyDescent="0.25">
      <c r="A403" s="8" t="s">
        <v>0</v>
      </c>
      <c r="B403" s="39" t="s">
        <v>217</v>
      </c>
      <c r="C403" s="18" t="s">
        <v>5</v>
      </c>
      <c r="D403" s="11"/>
      <c r="E403" s="12" t="s">
        <v>758</v>
      </c>
      <c r="F403" s="8" t="s">
        <v>2</v>
      </c>
      <c r="G403" s="12" t="s">
        <v>461</v>
      </c>
      <c r="H403" s="12" t="s">
        <v>461</v>
      </c>
      <c r="I403" s="160">
        <v>0</v>
      </c>
      <c r="J403" s="15">
        <v>3390540.39</v>
      </c>
      <c r="K403" s="25">
        <v>41320</v>
      </c>
      <c r="L403" s="285"/>
    </row>
    <row r="404" spans="1:12" s="277" customFormat="1" x14ac:dyDescent="0.25">
      <c r="A404" s="8" t="s">
        <v>0</v>
      </c>
      <c r="B404" s="39" t="s">
        <v>218</v>
      </c>
      <c r="C404" s="18" t="s">
        <v>4</v>
      </c>
      <c r="D404" s="11">
        <v>80</v>
      </c>
      <c r="E404" s="12" t="s">
        <v>758</v>
      </c>
      <c r="F404" s="12" t="s">
        <v>2</v>
      </c>
      <c r="G404" s="12" t="s">
        <v>461</v>
      </c>
      <c r="H404" s="12" t="s">
        <v>461</v>
      </c>
      <c r="I404" s="160">
        <v>0</v>
      </c>
      <c r="J404" s="15">
        <v>5651360</v>
      </c>
      <c r="K404" s="25" t="s">
        <v>461</v>
      </c>
      <c r="L404" s="285"/>
    </row>
    <row r="405" spans="1:12" s="277" customFormat="1" x14ac:dyDescent="0.25">
      <c r="A405" s="8" t="s">
        <v>0</v>
      </c>
      <c r="B405" s="39" t="s">
        <v>219</v>
      </c>
      <c r="C405" s="18" t="s">
        <v>4</v>
      </c>
      <c r="D405" s="11" t="s">
        <v>1260</v>
      </c>
      <c r="E405" s="12" t="s">
        <v>758</v>
      </c>
      <c r="F405" s="12" t="s">
        <v>2</v>
      </c>
      <c r="G405" s="12" t="s">
        <v>461</v>
      </c>
      <c r="H405" s="12" t="s">
        <v>461</v>
      </c>
      <c r="I405" s="160">
        <v>0</v>
      </c>
      <c r="J405" s="15">
        <v>1788194.44</v>
      </c>
      <c r="K405" s="13" t="s">
        <v>461</v>
      </c>
      <c r="L405" s="285"/>
    </row>
    <row r="406" spans="1:12" s="277" customFormat="1" x14ac:dyDescent="0.25">
      <c r="A406" s="8" t="s">
        <v>0</v>
      </c>
      <c r="B406" s="39" t="s">
        <v>220</v>
      </c>
      <c r="C406" s="18" t="s">
        <v>4</v>
      </c>
      <c r="D406" s="11"/>
      <c r="E406" s="12" t="s">
        <v>758</v>
      </c>
      <c r="F406" s="8" t="s">
        <v>2</v>
      </c>
      <c r="G406" s="12" t="s">
        <v>461</v>
      </c>
      <c r="H406" s="12" t="s">
        <v>461</v>
      </c>
      <c r="I406" s="160">
        <v>0</v>
      </c>
      <c r="J406" s="15">
        <v>37220872</v>
      </c>
      <c r="K406" s="25">
        <v>41320</v>
      </c>
      <c r="L406" s="285"/>
    </row>
    <row r="407" spans="1:12" s="277" customFormat="1" x14ac:dyDescent="0.25">
      <c r="A407" s="8" t="s">
        <v>0</v>
      </c>
      <c r="B407" s="9" t="s">
        <v>650</v>
      </c>
      <c r="C407" s="18" t="s">
        <v>5</v>
      </c>
      <c r="D407" s="11"/>
      <c r="E407" s="12" t="s">
        <v>758</v>
      </c>
      <c r="F407" s="8" t="s">
        <v>2</v>
      </c>
      <c r="G407" s="12" t="s">
        <v>461</v>
      </c>
      <c r="H407" s="12" t="s">
        <v>461</v>
      </c>
      <c r="I407" s="160">
        <v>0</v>
      </c>
      <c r="J407" s="15">
        <v>1180793.08</v>
      </c>
      <c r="K407" s="25">
        <v>41320</v>
      </c>
      <c r="L407" s="285"/>
    </row>
    <row r="408" spans="1:12" s="277" customFormat="1" x14ac:dyDescent="0.25">
      <c r="A408" s="8" t="s">
        <v>0</v>
      </c>
      <c r="B408" s="39" t="s">
        <v>221</v>
      </c>
      <c r="C408" s="18" t="s">
        <v>5</v>
      </c>
      <c r="D408" s="11">
        <v>65</v>
      </c>
      <c r="E408" s="12" t="s">
        <v>758</v>
      </c>
      <c r="F408" s="12" t="s">
        <v>2</v>
      </c>
      <c r="G408" s="12" t="s">
        <v>461</v>
      </c>
      <c r="H408" s="12" t="s">
        <v>461</v>
      </c>
      <c r="I408" s="160">
        <v>0</v>
      </c>
      <c r="J408" s="15">
        <v>1339750.5</v>
      </c>
      <c r="K408" s="25" t="s">
        <v>461</v>
      </c>
      <c r="L408" s="285"/>
    </row>
    <row r="409" spans="1:12" s="277" customFormat="1" x14ac:dyDescent="0.25">
      <c r="A409" s="8" t="s">
        <v>0</v>
      </c>
      <c r="B409" s="39" t="s">
        <v>222</v>
      </c>
      <c r="C409" s="18" t="s">
        <v>4</v>
      </c>
      <c r="D409" s="11">
        <v>3</v>
      </c>
      <c r="E409" s="12" t="s">
        <v>758</v>
      </c>
      <c r="F409" s="12" t="s">
        <v>2</v>
      </c>
      <c r="G409" s="12" t="s">
        <v>461</v>
      </c>
      <c r="H409" s="12" t="s">
        <v>461</v>
      </c>
      <c r="I409" s="160">
        <v>0</v>
      </c>
      <c r="J409" s="15">
        <v>3004166.66</v>
      </c>
      <c r="K409" s="13" t="s">
        <v>461</v>
      </c>
      <c r="L409" s="285"/>
    </row>
    <row r="410" spans="1:12" s="277" customFormat="1" x14ac:dyDescent="0.25">
      <c r="A410" s="8" t="s">
        <v>0</v>
      </c>
      <c r="B410" s="39" t="s">
        <v>223</v>
      </c>
      <c r="C410" s="18" t="s">
        <v>5</v>
      </c>
      <c r="D410" s="11">
        <v>66</v>
      </c>
      <c r="E410" s="12" t="s">
        <v>758</v>
      </c>
      <c r="F410" s="12" t="s">
        <v>2</v>
      </c>
      <c r="G410" s="12" t="s">
        <v>461</v>
      </c>
      <c r="H410" s="12" t="s">
        <v>461</v>
      </c>
      <c r="I410" s="160">
        <v>0</v>
      </c>
      <c r="J410" s="15">
        <v>1667700</v>
      </c>
      <c r="K410" s="25" t="s">
        <v>461</v>
      </c>
      <c r="L410" s="285"/>
    </row>
    <row r="411" spans="1:12" s="277" customFormat="1" x14ac:dyDescent="0.25">
      <c r="A411" s="8" t="s">
        <v>0</v>
      </c>
      <c r="B411" s="39" t="s">
        <v>224</v>
      </c>
      <c r="C411" s="18" t="s">
        <v>4</v>
      </c>
      <c r="D411" s="11">
        <v>67</v>
      </c>
      <c r="E411" s="12" t="s">
        <v>758</v>
      </c>
      <c r="F411" s="12" t="s">
        <v>2</v>
      </c>
      <c r="G411" s="12" t="s">
        <v>461</v>
      </c>
      <c r="H411" s="12" t="s">
        <v>461</v>
      </c>
      <c r="I411" s="160">
        <v>0</v>
      </c>
      <c r="J411" s="15">
        <v>2589305</v>
      </c>
      <c r="K411" s="25" t="s">
        <v>461</v>
      </c>
      <c r="L411" s="285"/>
    </row>
    <row r="412" spans="1:12" s="277" customFormat="1" x14ac:dyDescent="0.25">
      <c r="A412" s="8" t="s">
        <v>0</v>
      </c>
      <c r="B412" s="39" t="s">
        <v>224</v>
      </c>
      <c r="C412" s="19" t="s">
        <v>665</v>
      </c>
      <c r="D412" s="11">
        <v>67</v>
      </c>
      <c r="E412" s="12" t="s">
        <v>461</v>
      </c>
      <c r="F412" s="12" t="s">
        <v>461</v>
      </c>
      <c r="G412" s="12" t="s">
        <v>461</v>
      </c>
      <c r="H412" s="12" t="s">
        <v>461</v>
      </c>
      <c r="I412" s="160">
        <v>0</v>
      </c>
      <c r="J412" s="15">
        <v>0</v>
      </c>
      <c r="K412" s="25" t="s">
        <v>461</v>
      </c>
      <c r="L412" s="285"/>
    </row>
    <row r="413" spans="1:12" x14ac:dyDescent="0.25">
      <c r="A413" s="8" t="s">
        <v>0</v>
      </c>
      <c r="B413" s="32" t="s">
        <v>568</v>
      </c>
      <c r="C413" s="18" t="s">
        <v>561</v>
      </c>
      <c r="D413" s="11" t="s">
        <v>1260</v>
      </c>
      <c r="E413" s="12" t="s">
        <v>758</v>
      </c>
      <c r="F413" s="8" t="s">
        <v>2</v>
      </c>
      <c r="G413" s="12" t="s">
        <v>461</v>
      </c>
      <c r="H413" s="12" t="s">
        <v>461</v>
      </c>
      <c r="I413" s="160">
        <v>0</v>
      </c>
      <c r="J413" s="15">
        <v>2920291.67</v>
      </c>
      <c r="K413" s="25" t="s">
        <v>461</v>
      </c>
      <c r="L413" s="285"/>
    </row>
    <row r="414" spans="1:12" s="277" customFormat="1" x14ac:dyDescent="0.25">
      <c r="A414" s="8" t="s">
        <v>0</v>
      </c>
      <c r="B414" s="32" t="s">
        <v>569</v>
      </c>
      <c r="C414" s="18" t="s">
        <v>561</v>
      </c>
      <c r="D414" s="17" t="s">
        <v>915</v>
      </c>
      <c r="E414" s="12" t="s">
        <v>759</v>
      </c>
      <c r="F414" s="12" t="s">
        <v>2</v>
      </c>
      <c r="G414" s="12" t="s">
        <v>461</v>
      </c>
      <c r="H414" s="12" t="s">
        <v>461</v>
      </c>
      <c r="I414" s="160">
        <v>0</v>
      </c>
      <c r="J414" s="15">
        <v>87184.85</v>
      </c>
      <c r="K414" s="12" t="s">
        <v>461</v>
      </c>
      <c r="L414" s="285"/>
    </row>
    <row r="415" spans="1:12" s="277" customFormat="1" x14ac:dyDescent="0.25">
      <c r="A415" s="8" t="s">
        <v>0</v>
      </c>
      <c r="B415" s="39" t="s">
        <v>225</v>
      </c>
      <c r="C415" s="18" t="s">
        <v>5</v>
      </c>
      <c r="D415" s="11">
        <v>66</v>
      </c>
      <c r="E415" s="12" t="s">
        <v>758</v>
      </c>
      <c r="F415" s="12" t="s">
        <v>2</v>
      </c>
      <c r="G415" s="12" t="s">
        <v>461</v>
      </c>
      <c r="H415" s="12" t="s">
        <v>461</v>
      </c>
      <c r="I415" s="160">
        <v>0</v>
      </c>
      <c r="J415" s="15">
        <v>413927.67</v>
      </c>
      <c r="K415" s="25" t="s">
        <v>461</v>
      </c>
      <c r="L415" s="285"/>
    </row>
    <row r="416" spans="1:12" s="277" customFormat="1" x14ac:dyDescent="0.25">
      <c r="A416" s="8" t="s">
        <v>0</v>
      </c>
      <c r="B416" s="9" t="s">
        <v>739</v>
      </c>
      <c r="C416" s="18" t="s">
        <v>5</v>
      </c>
      <c r="D416" s="17" t="s">
        <v>915</v>
      </c>
      <c r="E416" s="12" t="s">
        <v>758</v>
      </c>
      <c r="F416" s="12" t="s">
        <v>2</v>
      </c>
      <c r="G416" s="12" t="s">
        <v>461</v>
      </c>
      <c r="H416" s="12" t="s">
        <v>461</v>
      </c>
      <c r="I416" s="160">
        <v>0</v>
      </c>
      <c r="J416" s="15">
        <v>273888.89</v>
      </c>
      <c r="K416" s="25" t="s">
        <v>461</v>
      </c>
      <c r="L416" s="285"/>
    </row>
    <row r="417" spans="1:12" s="277" customFormat="1" x14ac:dyDescent="0.25">
      <c r="A417" s="8" t="s">
        <v>0</v>
      </c>
      <c r="B417" s="9" t="s">
        <v>740</v>
      </c>
      <c r="C417" s="18" t="s">
        <v>5</v>
      </c>
      <c r="D417" s="11" t="s">
        <v>1260</v>
      </c>
      <c r="E417" s="12" t="s">
        <v>758</v>
      </c>
      <c r="F417" s="12" t="s">
        <v>2</v>
      </c>
      <c r="G417" s="12" t="s">
        <v>461</v>
      </c>
      <c r="H417" s="12" t="s">
        <v>461</v>
      </c>
      <c r="I417" s="160">
        <v>0</v>
      </c>
      <c r="J417" s="15">
        <v>221721.5</v>
      </c>
      <c r="K417" s="25" t="s">
        <v>461</v>
      </c>
      <c r="L417" s="285"/>
    </row>
    <row r="418" spans="1:12" s="277" customFormat="1" x14ac:dyDescent="0.25">
      <c r="A418" s="281" t="s">
        <v>0</v>
      </c>
      <c r="B418" s="255" t="s">
        <v>570</v>
      </c>
      <c r="C418" s="254" t="s">
        <v>561</v>
      </c>
      <c r="D418" s="280">
        <v>92</v>
      </c>
      <c r="E418" s="278" t="s">
        <v>758</v>
      </c>
      <c r="F418" s="281" t="s">
        <v>2</v>
      </c>
      <c r="G418" s="12" t="s">
        <v>461</v>
      </c>
      <c r="H418" s="12" t="s">
        <v>461</v>
      </c>
      <c r="I418" s="160">
        <v>0</v>
      </c>
      <c r="J418" s="15">
        <v>965343.67000000016</v>
      </c>
      <c r="K418" s="258" t="s">
        <v>461</v>
      </c>
      <c r="L418" s="285"/>
    </row>
    <row r="419" spans="1:12" s="285" customFormat="1" x14ac:dyDescent="0.25">
      <c r="A419" s="8" t="s">
        <v>0</v>
      </c>
      <c r="B419" s="21" t="s">
        <v>597</v>
      </c>
      <c r="C419" s="44" t="s">
        <v>560</v>
      </c>
      <c r="D419" s="26"/>
      <c r="E419" s="8" t="s">
        <v>661</v>
      </c>
      <c r="F419" s="30" t="s">
        <v>2</v>
      </c>
      <c r="G419" s="12" t="s">
        <v>461</v>
      </c>
      <c r="H419" s="12" t="s">
        <v>461</v>
      </c>
      <c r="I419" s="160">
        <v>0</v>
      </c>
      <c r="J419" s="15">
        <v>885843.45</v>
      </c>
      <c r="K419" s="25">
        <v>41320</v>
      </c>
    </row>
    <row r="420" spans="1:12" s="285" customFormat="1" x14ac:dyDescent="0.25">
      <c r="A420" s="8" t="s">
        <v>0</v>
      </c>
      <c r="B420" s="39" t="s">
        <v>641</v>
      </c>
      <c r="C420" s="45" t="s">
        <v>560</v>
      </c>
      <c r="D420" s="17" t="s">
        <v>1260</v>
      </c>
      <c r="E420" s="8" t="s">
        <v>661</v>
      </c>
      <c r="F420" s="30" t="s">
        <v>2</v>
      </c>
      <c r="G420" s="12" t="s">
        <v>461</v>
      </c>
      <c r="H420" s="12" t="s">
        <v>461</v>
      </c>
      <c r="I420" s="160">
        <v>0</v>
      </c>
      <c r="J420" s="15">
        <v>9046066.3599999994</v>
      </c>
      <c r="K420" s="25" t="s">
        <v>461</v>
      </c>
    </row>
    <row r="421" spans="1:12" s="277" customFormat="1" x14ac:dyDescent="0.25">
      <c r="A421" s="8" t="s">
        <v>0</v>
      </c>
      <c r="B421" s="39" t="s">
        <v>226</v>
      </c>
      <c r="C421" s="18" t="s">
        <v>5</v>
      </c>
      <c r="D421" s="11" t="s">
        <v>1260</v>
      </c>
      <c r="E421" s="12" t="s">
        <v>759</v>
      </c>
      <c r="F421" s="8" t="s">
        <v>2</v>
      </c>
      <c r="G421" s="12" t="s">
        <v>461</v>
      </c>
      <c r="H421" s="12" t="s">
        <v>461</v>
      </c>
      <c r="I421" s="160">
        <v>0</v>
      </c>
      <c r="J421" s="15">
        <v>371100.33</v>
      </c>
      <c r="K421" s="25" t="s">
        <v>461</v>
      </c>
      <c r="L421" s="285"/>
    </row>
    <row r="422" spans="1:12" s="285" customFormat="1" x14ac:dyDescent="0.25">
      <c r="A422" s="8" t="s">
        <v>0</v>
      </c>
      <c r="B422" s="21" t="s">
        <v>598</v>
      </c>
      <c r="C422" s="44" t="s">
        <v>560</v>
      </c>
      <c r="D422" s="26" t="s">
        <v>1260</v>
      </c>
      <c r="E422" s="8" t="s">
        <v>661</v>
      </c>
      <c r="F422" s="30" t="s">
        <v>2</v>
      </c>
      <c r="G422" s="12" t="s">
        <v>461</v>
      </c>
      <c r="H422" s="12" t="s">
        <v>461</v>
      </c>
      <c r="I422" s="160">
        <v>0</v>
      </c>
      <c r="J422" s="15">
        <v>258191.64999999997</v>
      </c>
      <c r="K422" s="25" t="s">
        <v>461</v>
      </c>
    </row>
    <row r="423" spans="1:12" s="277" customFormat="1" x14ac:dyDescent="0.25">
      <c r="A423" s="8" t="s">
        <v>0</v>
      </c>
      <c r="B423" s="39" t="s">
        <v>227</v>
      </c>
      <c r="C423" s="18" t="s">
        <v>4</v>
      </c>
      <c r="D423" s="11" t="s">
        <v>1260</v>
      </c>
      <c r="E423" s="12" t="s">
        <v>758</v>
      </c>
      <c r="F423" s="12" t="s">
        <v>2</v>
      </c>
      <c r="G423" s="12" t="s">
        <v>461</v>
      </c>
      <c r="H423" s="12" t="s">
        <v>461</v>
      </c>
      <c r="I423" s="160">
        <v>0</v>
      </c>
      <c r="J423" s="15">
        <v>29335625</v>
      </c>
      <c r="K423" s="25" t="s">
        <v>461</v>
      </c>
      <c r="L423" s="285"/>
    </row>
    <row r="424" spans="1:12" s="277" customFormat="1" x14ac:dyDescent="0.25">
      <c r="A424" s="8" t="s">
        <v>0</v>
      </c>
      <c r="B424" s="32" t="s">
        <v>571</v>
      </c>
      <c r="C424" s="18" t="s">
        <v>561</v>
      </c>
      <c r="D424" s="11">
        <v>81</v>
      </c>
      <c r="E424" s="12" t="s">
        <v>758</v>
      </c>
      <c r="F424" s="12" t="s">
        <v>2</v>
      </c>
      <c r="G424" s="12" t="s">
        <v>461</v>
      </c>
      <c r="H424" s="12" t="s">
        <v>461</v>
      </c>
      <c r="I424" s="160">
        <v>0</v>
      </c>
      <c r="J424" s="15">
        <v>960794.87000000011</v>
      </c>
      <c r="K424" s="25" t="s">
        <v>461</v>
      </c>
      <c r="L424" s="285"/>
    </row>
    <row r="425" spans="1:12" s="277" customFormat="1" x14ac:dyDescent="0.25">
      <c r="A425" s="281" t="s">
        <v>0</v>
      </c>
      <c r="B425" s="245" t="s">
        <v>228</v>
      </c>
      <c r="C425" s="246" t="s">
        <v>5</v>
      </c>
      <c r="D425" s="11" t="s">
        <v>1260</v>
      </c>
      <c r="E425" s="12" t="s">
        <v>758</v>
      </c>
      <c r="F425" s="12" t="s">
        <v>2</v>
      </c>
      <c r="G425" s="12" t="s">
        <v>461</v>
      </c>
      <c r="H425" s="12" t="s">
        <v>461</v>
      </c>
      <c r="I425" s="160">
        <v>0</v>
      </c>
      <c r="J425" s="15">
        <v>961470.83</v>
      </c>
      <c r="K425" s="258" t="s">
        <v>461</v>
      </c>
      <c r="L425" s="285"/>
    </row>
    <row r="426" spans="1:12" s="277" customFormat="1" x14ac:dyDescent="0.25">
      <c r="A426" s="8" t="s">
        <v>0</v>
      </c>
      <c r="B426" s="32" t="s">
        <v>572</v>
      </c>
      <c r="C426" s="18" t="s">
        <v>561</v>
      </c>
      <c r="D426" s="11"/>
      <c r="E426" s="12" t="s">
        <v>759</v>
      </c>
      <c r="F426" s="8" t="s">
        <v>2</v>
      </c>
      <c r="G426" s="12" t="s">
        <v>461</v>
      </c>
      <c r="H426" s="12" t="s">
        <v>461</v>
      </c>
      <c r="I426" s="160">
        <v>0</v>
      </c>
      <c r="J426" s="15">
        <v>0</v>
      </c>
      <c r="K426" s="25">
        <v>41320</v>
      </c>
      <c r="L426" s="285"/>
    </row>
    <row r="427" spans="1:12" s="277" customFormat="1" x14ac:dyDescent="0.25">
      <c r="A427" s="8" t="s">
        <v>0</v>
      </c>
      <c r="B427" s="39" t="s">
        <v>229</v>
      </c>
      <c r="C427" s="18" t="s">
        <v>5</v>
      </c>
      <c r="D427" s="11">
        <v>92</v>
      </c>
      <c r="E427" s="12" t="s">
        <v>758</v>
      </c>
      <c r="F427" s="8" t="s">
        <v>2</v>
      </c>
      <c r="G427" s="12" t="s">
        <v>461</v>
      </c>
      <c r="H427" s="12" t="s">
        <v>461</v>
      </c>
      <c r="I427" s="160">
        <v>0</v>
      </c>
      <c r="J427" s="15">
        <v>988889.76</v>
      </c>
      <c r="K427" s="25" t="s">
        <v>461</v>
      </c>
      <c r="L427" s="285"/>
    </row>
    <row r="428" spans="1:12" s="277" customFormat="1" x14ac:dyDescent="0.25">
      <c r="A428" s="8" t="s">
        <v>0</v>
      </c>
      <c r="B428" s="39" t="s">
        <v>623</v>
      </c>
      <c r="C428" s="45" t="s">
        <v>561</v>
      </c>
      <c r="D428" s="11"/>
      <c r="E428" s="12" t="s">
        <v>759</v>
      </c>
      <c r="F428" s="8" t="s">
        <v>2</v>
      </c>
      <c r="G428" s="12" t="s">
        <v>461</v>
      </c>
      <c r="H428" s="12" t="s">
        <v>461</v>
      </c>
      <c r="I428" s="160">
        <v>0</v>
      </c>
      <c r="J428" s="15">
        <v>53859.520000000004</v>
      </c>
      <c r="K428" s="25">
        <v>41320</v>
      </c>
      <c r="L428" s="285"/>
    </row>
    <row r="429" spans="1:12" s="277" customFormat="1" x14ac:dyDescent="0.25">
      <c r="A429" s="8" t="s">
        <v>0</v>
      </c>
      <c r="B429" s="39" t="s">
        <v>231</v>
      </c>
      <c r="C429" s="18" t="s">
        <v>5</v>
      </c>
      <c r="D429" s="11"/>
      <c r="E429" s="12" t="s">
        <v>759</v>
      </c>
      <c r="F429" s="8" t="s">
        <v>2</v>
      </c>
      <c r="G429" s="12" t="s">
        <v>461</v>
      </c>
      <c r="H429" s="12" t="s">
        <v>461</v>
      </c>
      <c r="I429" s="160">
        <v>0</v>
      </c>
      <c r="J429" s="15">
        <v>145750</v>
      </c>
      <c r="K429" s="25">
        <v>41320</v>
      </c>
      <c r="L429" s="285"/>
    </row>
    <row r="430" spans="1:12" x14ac:dyDescent="0.25">
      <c r="A430" s="8" t="s">
        <v>0</v>
      </c>
      <c r="B430" s="39" t="s">
        <v>232</v>
      </c>
      <c r="C430" s="18" t="s">
        <v>5</v>
      </c>
      <c r="D430" s="11">
        <v>65</v>
      </c>
      <c r="E430" s="12" t="s">
        <v>758</v>
      </c>
      <c r="F430" s="12" t="s">
        <v>2</v>
      </c>
      <c r="G430" s="12" t="s">
        <v>461</v>
      </c>
      <c r="H430" s="12" t="s">
        <v>461</v>
      </c>
      <c r="I430" s="160">
        <v>0</v>
      </c>
      <c r="J430" s="15">
        <v>517144.78</v>
      </c>
      <c r="K430" s="25" t="s">
        <v>461</v>
      </c>
      <c r="L430" s="285"/>
    </row>
    <row r="431" spans="1:12" s="285" customFormat="1" x14ac:dyDescent="0.25">
      <c r="A431" s="8" t="s">
        <v>0</v>
      </c>
      <c r="B431" s="39" t="s">
        <v>688</v>
      </c>
      <c r="C431" s="47" t="s">
        <v>560</v>
      </c>
      <c r="D431" s="213"/>
      <c r="E431" s="8" t="s">
        <v>661</v>
      </c>
      <c r="F431" s="30" t="s">
        <v>2</v>
      </c>
      <c r="G431" s="12" t="s">
        <v>461</v>
      </c>
      <c r="H431" s="12" t="s">
        <v>461</v>
      </c>
      <c r="I431" s="160">
        <v>0</v>
      </c>
      <c r="J431" s="15">
        <v>643382.15000000026</v>
      </c>
      <c r="K431" s="25">
        <v>41320</v>
      </c>
    </row>
    <row r="432" spans="1:12" s="277" customFormat="1" x14ac:dyDescent="0.25">
      <c r="A432" s="8" t="s">
        <v>0</v>
      </c>
      <c r="B432" s="32" t="s">
        <v>573</v>
      </c>
      <c r="C432" s="18" t="s">
        <v>561</v>
      </c>
      <c r="D432" s="11"/>
      <c r="E432" s="12" t="s">
        <v>758</v>
      </c>
      <c r="F432" s="8" t="s">
        <v>2</v>
      </c>
      <c r="G432" s="12" t="s">
        <v>461</v>
      </c>
      <c r="H432" s="12" t="s">
        <v>461</v>
      </c>
      <c r="I432" s="160">
        <v>0</v>
      </c>
      <c r="J432" s="15">
        <v>0</v>
      </c>
      <c r="K432" s="25">
        <v>41320</v>
      </c>
      <c r="L432" s="285"/>
    </row>
    <row r="433" spans="1:12" s="277" customFormat="1" x14ac:dyDescent="0.25">
      <c r="A433" s="8" t="s">
        <v>0</v>
      </c>
      <c r="B433" s="39" t="s">
        <v>233</v>
      </c>
      <c r="C433" s="18" t="s">
        <v>5</v>
      </c>
      <c r="D433" s="11">
        <v>66</v>
      </c>
      <c r="E433" s="12" t="s">
        <v>758</v>
      </c>
      <c r="F433" s="12" t="s">
        <v>2</v>
      </c>
      <c r="G433" s="12" t="s">
        <v>461</v>
      </c>
      <c r="H433" s="12" t="s">
        <v>461</v>
      </c>
      <c r="I433" s="160">
        <v>0</v>
      </c>
      <c r="J433" s="15">
        <v>1856917.08</v>
      </c>
      <c r="K433" s="25" t="s">
        <v>461</v>
      </c>
      <c r="L433" s="285"/>
    </row>
    <row r="434" spans="1:12" s="285" customFormat="1" x14ac:dyDescent="0.25">
      <c r="A434" s="8" t="s">
        <v>0</v>
      </c>
      <c r="B434" s="21" t="s">
        <v>658</v>
      </c>
      <c r="C434" s="44" t="s">
        <v>560</v>
      </c>
      <c r="D434" s="26"/>
      <c r="E434" s="8" t="s">
        <v>661</v>
      </c>
      <c r="F434" s="30" t="s">
        <v>2</v>
      </c>
      <c r="G434" s="12" t="s">
        <v>461</v>
      </c>
      <c r="H434" s="12" t="s">
        <v>461</v>
      </c>
      <c r="I434" s="160">
        <v>0</v>
      </c>
      <c r="J434" s="15">
        <v>759575.46</v>
      </c>
      <c r="K434" s="25">
        <v>41320</v>
      </c>
    </row>
    <row r="435" spans="1:12" s="277" customFormat="1" x14ac:dyDescent="0.25">
      <c r="A435" s="281" t="s">
        <v>0</v>
      </c>
      <c r="B435" s="253" t="s">
        <v>234</v>
      </c>
      <c r="C435" s="254" t="s">
        <v>4</v>
      </c>
      <c r="D435" s="280">
        <v>66</v>
      </c>
      <c r="E435" s="278" t="s">
        <v>758</v>
      </c>
      <c r="F435" s="12" t="s">
        <v>2</v>
      </c>
      <c r="G435" s="12" t="s">
        <v>461</v>
      </c>
      <c r="H435" s="12" t="s">
        <v>461</v>
      </c>
      <c r="I435" s="160">
        <v>0</v>
      </c>
      <c r="J435" s="15">
        <v>7838055.5599999996</v>
      </c>
      <c r="K435" s="258" t="s">
        <v>461</v>
      </c>
      <c r="L435" s="285"/>
    </row>
    <row r="436" spans="1:12" s="277" customFormat="1" x14ac:dyDescent="0.25">
      <c r="A436" s="8" t="s">
        <v>0</v>
      </c>
      <c r="B436" s="39" t="s">
        <v>235</v>
      </c>
      <c r="C436" s="18" t="s">
        <v>4</v>
      </c>
      <c r="D436" s="11">
        <v>68</v>
      </c>
      <c r="E436" s="12" t="s">
        <v>758</v>
      </c>
      <c r="F436" s="12" t="s">
        <v>2</v>
      </c>
      <c r="G436" s="12" t="s">
        <v>461</v>
      </c>
      <c r="H436" s="12" t="s">
        <v>461</v>
      </c>
      <c r="I436" s="160">
        <v>0</v>
      </c>
      <c r="J436" s="15">
        <v>5942857.7800000003</v>
      </c>
      <c r="K436" s="25" t="s">
        <v>461</v>
      </c>
      <c r="L436" s="285"/>
    </row>
    <row r="437" spans="1:12" s="277" customFormat="1" x14ac:dyDescent="0.25">
      <c r="A437" s="8" t="s">
        <v>0</v>
      </c>
      <c r="B437" s="39" t="s">
        <v>236</v>
      </c>
      <c r="C437" s="18" t="s">
        <v>5</v>
      </c>
      <c r="D437" s="11"/>
      <c r="E437" s="12" t="s">
        <v>758</v>
      </c>
      <c r="F437" s="8" t="s">
        <v>2</v>
      </c>
      <c r="G437" s="12" t="s">
        <v>461</v>
      </c>
      <c r="H437" s="13">
        <v>41297</v>
      </c>
      <c r="I437" s="160">
        <v>7555.56</v>
      </c>
      <c r="J437" s="15">
        <v>493584.45</v>
      </c>
      <c r="K437" s="25">
        <v>41320</v>
      </c>
      <c r="L437" s="285"/>
    </row>
    <row r="438" spans="1:12" s="277" customFormat="1" x14ac:dyDescent="0.25">
      <c r="A438" s="8" t="s">
        <v>0</v>
      </c>
      <c r="B438" s="39" t="s">
        <v>237</v>
      </c>
      <c r="C438" s="18" t="s">
        <v>5</v>
      </c>
      <c r="D438" s="11" t="s">
        <v>1260</v>
      </c>
      <c r="E438" s="12" t="s">
        <v>758</v>
      </c>
      <c r="F438" s="12" t="s">
        <v>2</v>
      </c>
      <c r="G438" s="12" t="s">
        <v>461</v>
      </c>
      <c r="H438" s="12" t="s">
        <v>461</v>
      </c>
      <c r="I438" s="160">
        <v>0</v>
      </c>
      <c r="J438" s="15">
        <v>49037.33</v>
      </c>
      <c r="K438" s="25" t="s">
        <v>461</v>
      </c>
      <c r="L438" s="285"/>
    </row>
    <row r="439" spans="1:12" s="277" customFormat="1" x14ac:dyDescent="0.25">
      <c r="A439" s="8" t="s">
        <v>0</v>
      </c>
      <c r="B439" s="39" t="s">
        <v>238</v>
      </c>
      <c r="C439" s="18" t="s">
        <v>5</v>
      </c>
      <c r="D439" s="11"/>
      <c r="E439" s="12" t="s">
        <v>758</v>
      </c>
      <c r="F439" s="8" t="s">
        <v>2</v>
      </c>
      <c r="G439" s="12" t="s">
        <v>461</v>
      </c>
      <c r="H439" s="12" t="s">
        <v>461</v>
      </c>
      <c r="I439" s="160">
        <v>0</v>
      </c>
      <c r="J439" s="15">
        <v>975831</v>
      </c>
      <c r="K439" s="25">
        <v>41320</v>
      </c>
      <c r="L439" s="285"/>
    </row>
    <row r="440" spans="1:12" s="277" customFormat="1" x14ac:dyDescent="0.25">
      <c r="A440" s="8" t="s">
        <v>0</v>
      </c>
      <c r="B440" s="39" t="s">
        <v>239</v>
      </c>
      <c r="C440" s="18" t="s">
        <v>5</v>
      </c>
      <c r="D440" s="17" t="s">
        <v>915</v>
      </c>
      <c r="E440" s="12" t="s">
        <v>758</v>
      </c>
      <c r="F440" s="12" t="s">
        <v>2</v>
      </c>
      <c r="G440" s="12" t="s">
        <v>461</v>
      </c>
      <c r="H440" s="12" t="s">
        <v>461</v>
      </c>
      <c r="I440" s="160">
        <v>0</v>
      </c>
      <c r="J440" s="15">
        <v>45190</v>
      </c>
      <c r="K440" s="25" t="s">
        <v>461</v>
      </c>
      <c r="L440" s="285"/>
    </row>
    <row r="441" spans="1:12" s="277" customFormat="1" x14ac:dyDescent="0.25">
      <c r="A441" s="8" t="s">
        <v>0</v>
      </c>
      <c r="B441" s="39" t="s">
        <v>240</v>
      </c>
      <c r="C441" s="18" t="s">
        <v>5</v>
      </c>
      <c r="D441" s="11">
        <v>66</v>
      </c>
      <c r="E441" s="12" t="s">
        <v>758</v>
      </c>
      <c r="F441" s="12" t="s">
        <v>2</v>
      </c>
      <c r="G441" s="12" t="s">
        <v>461</v>
      </c>
      <c r="H441" s="12" t="s">
        <v>461</v>
      </c>
      <c r="I441" s="160">
        <v>0</v>
      </c>
      <c r="J441" s="15">
        <v>969040.33</v>
      </c>
      <c r="K441" s="25" t="s">
        <v>461</v>
      </c>
      <c r="L441" s="285"/>
    </row>
    <row r="442" spans="1:12" s="285" customFormat="1" x14ac:dyDescent="0.25">
      <c r="A442" s="8" t="s">
        <v>0</v>
      </c>
      <c r="B442" s="39" t="s">
        <v>689</v>
      </c>
      <c r="C442" s="47" t="s">
        <v>610</v>
      </c>
      <c r="D442" s="11">
        <v>42</v>
      </c>
      <c r="E442" s="8" t="s">
        <v>661</v>
      </c>
      <c r="F442" s="30" t="s">
        <v>2</v>
      </c>
      <c r="G442" s="12" t="s">
        <v>461</v>
      </c>
      <c r="H442" s="12" t="s">
        <v>461</v>
      </c>
      <c r="I442" s="160">
        <v>0</v>
      </c>
      <c r="J442" s="15">
        <v>913299.33</v>
      </c>
      <c r="K442" s="25" t="s">
        <v>461</v>
      </c>
    </row>
    <row r="443" spans="1:12" s="277" customFormat="1" x14ac:dyDescent="0.25">
      <c r="A443" s="8" t="s">
        <v>0</v>
      </c>
      <c r="B443" s="39" t="s">
        <v>241</v>
      </c>
      <c r="C443" s="18" t="s">
        <v>4</v>
      </c>
      <c r="D443" s="11"/>
      <c r="E443" s="12" t="s">
        <v>758</v>
      </c>
      <c r="F443" s="8" t="s">
        <v>2</v>
      </c>
      <c r="G443" s="12" t="s">
        <v>461</v>
      </c>
      <c r="H443" s="12" t="s">
        <v>461</v>
      </c>
      <c r="I443" s="160">
        <v>0</v>
      </c>
      <c r="J443" s="15">
        <v>3117361.44</v>
      </c>
      <c r="K443" s="25">
        <v>41320</v>
      </c>
      <c r="L443" s="285"/>
    </row>
    <row r="444" spans="1:12" s="285" customFormat="1" x14ac:dyDescent="0.25">
      <c r="A444" s="8" t="s">
        <v>0</v>
      </c>
      <c r="B444" s="39" t="s">
        <v>690</v>
      </c>
      <c r="C444" s="10" t="s">
        <v>560</v>
      </c>
      <c r="D444" s="48" t="s">
        <v>1345</v>
      </c>
      <c r="E444" s="8" t="s">
        <v>661</v>
      </c>
      <c r="F444" s="30" t="s">
        <v>2</v>
      </c>
      <c r="G444" s="12" t="s">
        <v>461</v>
      </c>
      <c r="H444" s="12" t="s">
        <v>461</v>
      </c>
      <c r="I444" s="160">
        <v>0</v>
      </c>
      <c r="J444" s="15">
        <v>312723.83</v>
      </c>
      <c r="K444" s="25" t="s">
        <v>461</v>
      </c>
    </row>
    <row r="445" spans="1:12" s="285" customFormat="1" x14ac:dyDescent="0.25">
      <c r="A445" s="8" t="s">
        <v>0</v>
      </c>
      <c r="B445" s="39" t="s">
        <v>690</v>
      </c>
      <c r="C445" s="45" t="s">
        <v>561</v>
      </c>
      <c r="D445" s="49" t="s">
        <v>1346</v>
      </c>
      <c r="E445" s="12" t="s">
        <v>759</v>
      </c>
      <c r="F445" s="30" t="s">
        <v>2</v>
      </c>
      <c r="G445" s="12" t="s">
        <v>461</v>
      </c>
      <c r="H445" s="12" t="s">
        <v>461</v>
      </c>
      <c r="I445" s="160">
        <v>0</v>
      </c>
      <c r="J445" s="15">
        <v>444656.25</v>
      </c>
      <c r="K445" s="25" t="s">
        <v>461</v>
      </c>
    </row>
    <row r="446" spans="1:12" s="277" customFormat="1" x14ac:dyDescent="0.25">
      <c r="A446" s="281" t="s">
        <v>0</v>
      </c>
      <c r="B446" s="253" t="s">
        <v>622</v>
      </c>
      <c r="C446" s="276" t="s">
        <v>561</v>
      </c>
      <c r="D446" s="280">
        <v>66</v>
      </c>
      <c r="E446" s="278" t="s">
        <v>758</v>
      </c>
      <c r="F446" s="12" t="s">
        <v>2</v>
      </c>
      <c r="G446" s="12" t="s">
        <v>461</v>
      </c>
      <c r="H446" s="12" t="s">
        <v>461</v>
      </c>
      <c r="I446" s="160">
        <v>0</v>
      </c>
      <c r="J446" s="15">
        <v>876541.63</v>
      </c>
      <c r="K446" s="258" t="s">
        <v>461</v>
      </c>
      <c r="L446" s="285"/>
    </row>
    <row r="447" spans="1:12" s="277" customFormat="1" x14ac:dyDescent="0.25">
      <c r="A447" s="8" t="s">
        <v>0</v>
      </c>
      <c r="B447" s="39" t="s">
        <v>242</v>
      </c>
      <c r="C447" s="18" t="s">
        <v>5</v>
      </c>
      <c r="D447" s="11" t="s">
        <v>1260</v>
      </c>
      <c r="E447" s="12" t="s">
        <v>758</v>
      </c>
      <c r="F447" s="12" t="s">
        <v>2</v>
      </c>
      <c r="G447" s="12" t="s">
        <v>461</v>
      </c>
      <c r="H447" s="12" t="s">
        <v>461</v>
      </c>
      <c r="I447" s="160">
        <v>0</v>
      </c>
      <c r="J447" s="15">
        <v>819165.89</v>
      </c>
      <c r="K447" s="25" t="s">
        <v>461</v>
      </c>
      <c r="L447" s="285"/>
    </row>
    <row r="448" spans="1:12" s="277" customFormat="1" x14ac:dyDescent="0.25">
      <c r="A448" s="8" t="s">
        <v>0</v>
      </c>
      <c r="B448" s="39" t="s">
        <v>243</v>
      </c>
      <c r="C448" s="18" t="s">
        <v>4</v>
      </c>
      <c r="D448" s="11">
        <v>43</v>
      </c>
      <c r="E448" s="12" t="s">
        <v>758</v>
      </c>
      <c r="F448" s="12" t="s">
        <v>2</v>
      </c>
      <c r="G448" s="12" t="s">
        <v>461</v>
      </c>
      <c r="H448" s="12" t="s">
        <v>461</v>
      </c>
      <c r="I448" s="160">
        <v>0</v>
      </c>
      <c r="J448" s="15">
        <v>2510844.25</v>
      </c>
      <c r="K448" s="25" t="s">
        <v>461</v>
      </c>
      <c r="L448" s="285"/>
    </row>
    <row r="449" spans="1:12" s="277" customFormat="1" x14ac:dyDescent="0.25">
      <c r="A449" s="8" t="s">
        <v>0</v>
      </c>
      <c r="B449" s="39" t="s">
        <v>243</v>
      </c>
      <c r="C449" s="19" t="s">
        <v>665</v>
      </c>
      <c r="D449" s="11">
        <v>43</v>
      </c>
      <c r="E449" s="12" t="s">
        <v>461</v>
      </c>
      <c r="F449" s="12" t="s">
        <v>461</v>
      </c>
      <c r="G449" s="12" t="s">
        <v>461</v>
      </c>
      <c r="H449" s="12" t="s">
        <v>461</v>
      </c>
      <c r="I449" s="160">
        <v>0</v>
      </c>
      <c r="J449" s="15">
        <v>0</v>
      </c>
      <c r="K449" s="25" t="s">
        <v>461</v>
      </c>
      <c r="L449" s="285"/>
    </row>
    <row r="450" spans="1:12" s="277" customFormat="1" x14ac:dyDescent="0.25">
      <c r="A450" s="8" t="s">
        <v>0</v>
      </c>
      <c r="B450" s="9" t="s">
        <v>651</v>
      </c>
      <c r="C450" s="19" t="s">
        <v>83</v>
      </c>
      <c r="D450" s="11"/>
      <c r="E450" s="12" t="s">
        <v>758</v>
      </c>
      <c r="F450" s="8" t="s">
        <v>2</v>
      </c>
      <c r="G450" s="12" t="s">
        <v>461</v>
      </c>
      <c r="H450" s="12" t="s">
        <v>461</v>
      </c>
      <c r="I450" s="160">
        <v>0</v>
      </c>
      <c r="J450" s="15">
        <v>282744.46999999997</v>
      </c>
      <c r="K450" s="258">
        <v>41320</v>
      </c>
      <c r="L450" s="285"/>
    </row>
    <row r="451" spans="1:12" s="277" customFormat="1" x14ac:dyDescent="0.25">
      <c r="A451" s="8" t="s">
        <v>0</v>
      </c>
      <c r="B451" s="39" t="s">
        <v>244</v>
      </c>
      <c r="C451" s="18" t="s">
        <v>5</v>
      </c>
      <c r="D451" s="11" t="s">
        <v>1260</v>
      </c>
      <c r="E451" s="12" t="s">
        <v>758</v>
      </c>
      <c r="F451" s="12" t="s">
        <v>2</v>
      </c>
      <c r="G451" s="12" t="s">
        <v>461</v>
      </c>
      <c r="H451" s="12" t="s">
        <v>461</v>
      </c>
      <c r="I451" s="160">
        <v>0</v>
      </c>
      <c r="J451" s="15">
        <v>41524.222222222219</v>
      </c>
      <c r="K451" s="25" t="s">
        <v>461</v>
      </c>
      <c r="L451" s="285"/>
    </row>
    <row r="452" spans="1:12" s="277" customFormat="1" x14ac:dyDescent="0.25">
      <c r="A452" s="281" t="s">
        <v>0</v>
      </c>
      <c r="B452" s="249" t="s">
        <v>1271</v>
      </c>
      <c r="C452" s="246" t="s">
        <v>4</v>
      </c>
      <c r="D452" s="280"/>
      <c r="E452" s="278" t="s">
        <v>758</v>
      </c>
      <c r="F452" s="8" t="s">
        <v>2</v>
      </c>
      <c r="G452" s="12" t="s">
        <v>461</v>
      </c>
      <c r="H452" s="12" t="s">
        <v>461</v>
      </c>
      <c r="I452" s="160">
        <v>0</v>
      </c>
      <c r="J452" s="15">
        <v>5598129.6699999999</v>
      </c>
      <c r="K452" s="258">
        <v>41320</v>
      </c>
      <c r="L452" s="285"/>
    </row>
    <row r="453" spans="1:12" s="277" customFormat="1" x14ac:dyDescent="0.25">
      <c r="A453" s="8" t="s">
        <v>0</v>
      </c>
      <c r="B453" s="39" t="s">
        <v>245</v>
      </c>
      <c r="C453" s="18" t="s">
        <v>4</v>
      </c>
      <c r="D453" s="11"/>
      <c r="E453" s="12" t="s">
        <v>758</v>
      </c>
      <c r="F453" s="8" t="s">
        <v>2</v>
      </c>
      <c r="G453" s="12" t="s">
        <v>461</v>
      </c>
      <c r="H453" s="12" t="s">
        <v>461</v>
      </c>
      <c r="I453" s="160">
        <v>0</v>
      </c>
      <c r="J453" s="15">
        <v>1090702</v>
      </c>
      <c r="K453" s="258">
        <v>41320</v>
      </c>
      <c r="L453" s="285"/>
    </row>
    <row r="454" spans="1:12" s="277" customFormat="1" x14ac:dyDescent="0.25">
      <c r="A454" s="8" t="s">
        <v>0</v>
      </c>
      <c r="B454" s="9" t="s">
        <v>682</v>
      </c>
      <c r="C454" s="19" t="s">
        <v>5</v>
      </c>
      <c r="D454" s="11">
        <v>85</v>
      </c>
      <c r="E454" s="12" t="s">
        <v>758</v>
      </c>
      <c r="F454" s="12" t="s">
        <v>2</v>
      </c>
      <c r="G454" s="12" t="s">
        <v>461</v>
      </c>
      <c r="H454" s="12" t="s">
        <v>461</v>
      </c>
      <c r="I454" s="160">
        <v>0</v>
      </c>
      <c r="J454" s="15">
        <v>1073471.08</v>
      </c>
      <c r="K454" s="25" t="s">
        <v>461</v>
      </c>
      <c r="L454" s="285"/>
    </row>
    <row r="455" spans="1:12" s="277" customFormat="1" x14ac:dyDescent="0.25">
      <c r="A455" s="8" t="s">
        <v>0</v>
      </c>
      <c r="B455" s="39" t="s">
        <v>246</v>
      </c>
      <c r="C455" s="18" t="s">
        <v>4</v>
      </c>
      <c r="D455" s="11">
        <v>66</v>
      </c>
      <c r="E455" s="12" t="s">
        <v>758</v>
      </c>
      <c r="F455" s="12" t="s">
        <v>2</v>
      </c>
      <c r="G455" s="12" t="s">
        <v>461</v>
      </c>
      <c r="H455" s="12" t="s">
        <v>461</v>
      </c>
      <c r="I455" s="160">
        <v>0</v>
      </c>
      <c r="J455" s="15">
        <v>11188087.220000001</v>
      </c>
      <c r="K455" s="25" t="s">
        <v>461</v>
      </c>
      <c r="L455" s="285"/>
    </row>
    <row r="456" spans="1:12" s="277" customFormat="1" x14ac:dyDescent="0.25">
      <c r="A456" s="8" t="s">
        <v>0</v>
      </c>
      <c r="B456" s="9" t="s">
        <v>686</v>
      </c>
      <c r="C456" s="19" t="s">
        <v>5</v>
      </c>
      <c r="D456" s="11">
        <v>66</v>
      </c>
      <c r="E456" s="12" t="s">
        <v>758</v>
      </c>
      <c r="F456" s="12" t="s">
        <v>2</v>
      </c>
      <c r="G456" s="12" t="s">
        <v>461</v>
      </c>
      <c r="H456" s="12" t="s">
        <v>461</v>
      </c>
      <c r="I456" s="160">
        <v>0</v>
      </c>
      <c r="J456" s="15">
        <v>947284.46</v>
      </c>
      <c r="K456" s="25" t="s">
        <v>461</v>
      </c>
      <c r="L456" s="285"/>
    </row>
    <row r="457" spans="1:12" s="277" customFormat="1" x14ac:dyDescent="0.25">
      <c r="A457" s="8" t="s">
        <v>0</v>
      </c>
      <c r="B457" s="39" t="s">
        <v>247</v>
      </c>
      <c r="C457" s="18" t="s">
        <v>4</v>
      </c>
      <c r="D457" s="11" t="s">
        <v>1260</v>
      </c>
      <c r="E457" s="12" t="s">
        <v>758</v>
      </c>
      <c r="F457" s="12" t="s">
        <v>2</v>
      </c>
      <c r="G457" s="12" t="s">
        <v>461</v>
      </c>
      <c r="H457" s="12" t="s">
        <v>461</v>
      </c>
      <c r="I457" s="160">
        <v>0</v>
      </c>
      <c r="J457" s="15">
        <v>6761266.7999999998</v>
      </c>
      <c r="K457" s="25" t="s">
        <v>461</v>
      </c>
      <c r="L457" s="285"/>
    </row>
    <row r="458" spans="1:12" s="277" customFormat="1" x14ac:dyDescent="0.25">
      <c r="A458" s="8" t="s">
        <v>0</v>
      </c>
      <c r="B458" s="39" t="s">
        <v>248</v>
      </c>
      <c r="C458" s="18" t="s">
        <v>4</v>
      </c>
      <c r="D458" s="11" t="s">
        <v>1260</v>
      </c>
      <c r="E458" s="12" t="s">
        <v>758</v>
      </c>
      <c r="F458" s="12" t="s">
        <v>2</v>
      </c>
      <c r="G458" s="12" t="s">
        <v>461</v>
      </c>
      <c r="H458" s="12" t="s">
        <v>461</v>
      </c>
      <c r="I458" s="160">
        <v>0</v>
      </c>
      <c r="J458" s="15">
        <v>2503333.3333333335</v>
      </c>
      <c r="K458" s="25" t="s">
        <v>461</v>
      </c>
      <c r="L458" s="285"/>
    </row>
    <row r="459" spans="1:12" s="277" customFormat="1" x14ac:dyDescent="0.25">
      <c r="A459" s="8" t="s">
        <v>0</v>
      </c>
      <c r="B459" s="39" t="s">
        <v>249</v>
      </c>
      <c r="C459" s="18" t="s">
        <v>4</v>
      </c>
      <c r="D459" s="17"/>
      <c r="E459" s="12" t="s">
        <v>758</v>
      </c>
      <c r="F459" s="8" t="s">
        <v>2</v>
      </c>
      <c r="G459" s="12" t="s">
        <v>461</v>
      </c>
      <c r="H459" s="12" t="s">
        <v>461</v>
      </c>
      <c r="I459" s="160">
        <v>0</v>
      </c>
      <c r="J459" s="15">
        <v>3960501.93</v>
      </c>
      <c r="K459" s="25">
        <v>41320</v>
      </c>
      <c r="L459" s="285"/>
    </row>
    <row r="460" spans="1:12" s="277" customFormat="1" x14ac:dyDescent="0.25">
      <c r="A460" s="8" t="s">
        <v>0</v>
      </c>
      <c r="B460" s="39" t="s">
        <v>250</v>
      </c>
      <c r="C460" s="18" t="s">
        <v>4</v>
      </c>
      <c r="D460" s="11" t="s">
        <v>1260</v>
      </c>
      <c r="E460" s="12" t="s">
        <v>758</v>
      </c>
      <c r="F460" s="12" t="s">
        <v>2</v>
      </c>
      <c r="G460" s="12" t="s">
        <v>461</v>
      </c>
      <c r="H460" s="12" t="s">
        <v>461</v>
      </c>
      <c r="I460" s="160">
        <v>0</v>
      </c>
      <c r="J460" s="15">
        <v>666666.67000000004</v>
      </c>
      <c r="K460" s="13" t="s">
        <v>461</v>
      </c>
      <c r="L460" s="285"/>
    </row>
    <row r="461" spans="1:12" s="277" customFormat="1" x14ac:dyDescent="0.25">
      <c r="A461" s="8" t="s">
        <v>0</v>
      </c>
      <c r="B461" s="162" t="s">
        <v>922</v>
      </c>
      <c r="C461" s="246" t="s">
        <v>561</v>
      </c>
      <c r="D461" s="11">
        <v>65</v>
      </c>
      <c r="E461" s="12" t="s">
        <v>759</v>
      </c>
      <c r="F461" s="12" t="s">
        <v>2</v>
      </c>
      <c r="G461" s="12" t="s">
        <v>461</v>
      </c>
      <c r="H461" s="12" t="s">
        <v>461</v>
      </c>
      <c r="I461" s="160">
        <v>0</v>
      </c>
      <c r="J461" s="15">
        <v>606926.79</v>
      </c>
      <c r="K461" s="25" t="s">
        <v>461</v>
      </c>
      <c r="L461" s="285"/>
    </row>
    <row r="462" spans="1:12" s="277" customFormat="1" x14ac:dyDescent="0.25">
      <c r="A462" s="8" t="s">
        <v>0</v>
      </c>
      <c r="B462" s="39" t="s">
        <v>251</v>
      </c>
      <c r="C462" s="18" t="s">
        <v>5</v>
      </c>
      <c r="D462" s="11"/>
      <c r="E462" s="12" t="s">
        <v>758</v>
      </c>
      <c r="F462" s="8" t="s">
        <v>2</v>
      </c>
      <c r="G462" s="12" t="s">
        <v>461</v>
      </c>
      <c r="H462" s="12" t="s">
        <v>461</v>
      </c>
      <c r="I462" s="160">
        <v>0</v>
      </c>
      <c r="J462" s="15">
        <v>617712</v>
      </c>
      <c r="K462" s="25">
        <v>41320</v>
      </c>
      <c r="L462" s="285"/>
    </row>
    <row r="463" spans="1:12" s="277" customFormat="1" x14ac:dyDescent="0.25">
      <c r="A463" s="8" t="s">
        <v>0</v>
      </c>
      <c r="B463" s="39" t="s">
        <v>252</v>
      </c>
      <c r="C463" s="18" t="s">
        <v>5</v>
      </c>
      <c r="D463" s="11" t="s">
        <v>1260</v>
      </c>
      <c r="E463" s="12" t="s">
        <v>758</v>
      </c>
      <c r="F463" s="12" t="s">
        <v>2</v>
      </c>
      <c r="G463" s="12" t="s">
        <v>461</v>
      </c>
      <c r="H463" s="12" t="s">
        <v>461</v>
      </c>
      <c r="I463" s="160">
        <v>0</v>
      </c>
      <c r="J463" s="15">
        <v>267049.67</v>
      </c>
      <c r="K463" s="25" t="s">
        <v>461</v>
      </c>
      <c r="L463" s="285"/>
    </row>
    <row r="464" spans="1:12" s="277" customFormat="1" x14ac:dyDescent="0.25">
      <c r="A464" s="8" t="s">
        <v>0</v>
      </c>
      <c r="B464" s="39" t="s">
        <v>253</v>
      </c>
      <c r="C464" s="18" t="s">
        <v>4</v>
      </c>
      <c r="D464" s="11"/>
      <c r="E464" s="12" t="s">
        <v>758</v>
      </c>
      <c r="F464" s="8" t="s">
        <v>2</v>
      </c>
      <c r="G464" s="12" t="s">
        <v>461</v>
      </c>
      <c r="H464" s="12" t="s">
        <v>461</v>
      </c>
      <c r="I464" s="160">
        <v>0</v>
      </c>
      <c r="J464" s="15">
        <v>2462777.7800000003</v>
      </c>
      <c r="K464" s="25">
        <v>41320</v>
      </c>
      <c r="L464" s="285"/>
    </row>
    <row r="465" spans="1:12" s="277" customFormat="1" x14ac:dyDescent="0.25">
      <c r="A465" s="8" t="s">
        <v>0</v>
      </c>
      <c r="B465" s="39" t="s">
        <v>254</v>
      </c>
      <c r="C465" s="18" t="s">
        <v>4</v>
      </c>
      <c r="D465" s="11" t="s">
        <v>1260</v>
      </c>
      <c r="E465" s="12" t="s">
        <v>758</v>
      </c>
      <c r="F465" s="12" t="s">
        <v>2</v>
      </c>
      <c r="G465" s="12" t="s">
        <v>461</v>
      </c>
      <c r="H465" s="12" t="s">
        <v>461</v>
      </c>
      <c r="I465" s="160">
        <v>0</v>
      </c>
      <c r="J465" s="15">
        <v>6180555.5600000005</v>
      </c>
      <c r="K465" s="25" t="s">
        <v>461</v>
      </c>
      <c r="L465" s="285"/>
    </row>
    <row r="466" spans="1:12" s="277" customFormat="1" x14ac:dyDescent="0.25">
      <c r="A466" s="8" t="s">
        <v>0</v>
      </c>
      <c r="B466" s="39" t="s">
        <v>255</v>
      </c>
      <c r="C466" s="18" t="s">
        <v>5</v>
      </c>
      <c r="D466" s="11"/>
      <c r="E466" s="12" t="s">
        <v>758</v>
      </c>
      <c r="F466" s="8" t="s">
        <v>2</v>
      </c>
      <c r="G466" s="12" t="s">
        <v>461</v>
      </c>
      <c r="H466" s="12" t="s">
        <v>461</v>
      </c>
      <c r="I466" s="160">
        <v>0</v>
      </c>
      <c r="J466" s="15">
        <v>661927</v>
      </c>
      <c r="K466" s="25">
        <v>41320</v>
      </c>
      <c r="L466" s="285"/>
    </row>
    <row r="467" spans="1:12" s="277" customFormat="1" x14ac:dyDescent="0.25">
      <c r="A467" s="8" t="s">
        <v>0</v>
      </c>
      <c r="B467" s="9" t="s">
        <v>745</v>
      </c>
      <c r="C467" s="19" t="s">
        <v>5</v>
      </c>
      <c r="D467" s="17">
        <v>92</v>
      </c>
      <c r="E467" s="12" t="s">
        <v>758</v>
      </c>
      <c r="F467" s="12" t="s">
        <v>2</v>
      </c>
      <c r="G467" s="12" t="s">
        <v>461</v>
      </c>
      <c r="H467" s="12" t="s">
        <v>461</v>
      </c>
      <c r="I467" s="160">
        <v>0</v>
      </c>
      <c r="J467" s="15">
        <v>1702400.42</v>
      </c>
      <c r="K467" s="25" t="s">
        <v>461</v>
      </c>
      <c r="L467" s="285"/>
    </row>
    <row r="468" spans="1:12" s="277" customFormat="1" x14ac:dyDescent="0.25">
      <c r="A468" s="281" t="s">
        <v>0</v>
      </c>
      <c r="B468" s="253" t="s">
        <v>256</v>
      </c>
      <c r="C468" s="254" t="s">
        <v>5</v>
      </c>
      <c r="D468" s="280">
        <v>92</v>
      </c>
      <c r="E468" s="278" t="s">
        <v>758</v>
      </c>
      <c r="F468" s="281" t="s">
        <v>2</v>
      </c>
      <c r="G468" s="12" t="s">
        <v>461</v>
      </c>
      <c r="H468" s="12" t="s">
        <v>461</v>
      </c>
      <c r="I468" s="160">
        <v>0</v>
      </c>
      <c r="J468" s="15">
        <v>393196.03</v>
      </c>
      <c r="K468" s="258" t="s">
        <v>461</v>
      </c>
      <c r="L468" s="285"/>
    </row>
    <row r="469" spans="1:12" s="277" customFormat="1" x14ac:dyDescent="0.25">
      <c r="A469" s="8" t="s">
        <v>0</v>
      </c>
      <c r="B469" s="39" t="s">
        <v>257</v>
      </c>
      <c r="C469" s="18" t="s">
        <v>4</v>
      </c>
      <c r="D469" s="11" t="s">
        <v>1260</v>
      </c>
      <c r="E469" s="12" t="s">
        <v>758</v>
      </c>
      <c r="F469" s="8" t="s">
        <v>2</v>
      </c>
      <c r="G469" s="12" t="s">
        <v>461</v>
      </c>
      <c r="H469" s="12" t="s">
        <v>461</v>
      </c>
      <c r="I469" s="160">
        <v>0</v>
      </c>
      <c r="J469" s="15">
        <v>3697888.89</v>
      </c>
      <c r="K469" s="25" t="s">
        <v>461</v>
      </c>
      <c r="L469" s="285"/>
    </row>
    <row r="470" spans="1:12" s="277" customFormat="1" x14ac:dyDescent="0.25">
      <c r="A470" s="281" t="s">
        <v>0</v>
      </c>
      <c r="B470" s="253" t="s">
        <v>258</v>
      </c>
      <c r="C470" s="254" t="s">
        <v>4</v>
      </c>
      <c r="D470" s="280">
        <v>66</v>
      </c>
      <c r="E470" s="278" t="s">
        <v>758</v>
      </c>
      <c r="F470" s="12" t="s">
        <v>2</v>
      </c>
      <c r="G470" s="12" t="s">
        <v>461</v>
      </c>
      <c r="H470" s="12" t="s">
        <v>461</v>
      </c>
      <c r="I470" s="160">
        <v>0</v>
      </c>
      <c r="J470" s="15">
        <v>3106770.83</v>
      </c>
      <c r="K470" s="258" t="s">
        <v>461</v>
      </c>
      <c r="L470" s="285"/>
    </row>
    <row r="471" spans="1:12" s="277" customFormat="1" x14ac:dyDescent="0.25">
      <c r="A471" s="8" t="s">
        <v>0</v>
      </c>
      <c r="B471" s="39" t="s">
        <v>259</v>
      </c>
      <c r="C471" s="18" t="s">
        <v>5</v>
      </c>
      <c r="D471" s="11">
        <v>65</v>
      </c>
      <c r="E471" s="12" t="s">
        <v>758</v>
      </c>
      <c r="F471" s="12" t="s">
        <v>2</v>
      </c>
      <c r="G471" s="12" t="s">
        <v>461</v>
      </c>
      <c r="H471" s="12" t="s">
        <v>461</v>
      </c>
      <c r="I471" s="160">
        <v>0</v>
      </c>
      <c r="J471" s="15">
        <v>837793.05</v>
      </c>
      <c r="K471" s="25" t="s">
        <v>461</v>
      </c>
      <c r="L471" s="285"/>
    </row>
    <row r="472" spans="1:12" s="277" customFormat="1" x14ac:dyDescent="0.25">
      <c r="A472" s="8" t="s">
        <v>0</v>
      </c>
      <c r="B472" s="32" t="s">
        <v>574</v>
      </c>
      <c r="C472" s="18" t="s">
        <v>561</v>
      </c>
      <c r="D472" s="11" t="s">
        <v>1260</v>
      </c>
      <c r="E472" s="12" t="s">
        <v>758</v>
      </c>
      <c r="F472" s="8" t="s">
        <v>2</v>
      </c>
      <c r="G472" s="12" t="s">
        <v>461</v>
      </c>
      <c r="H472" s="12" t="s">
        <v>461</v>
      </c>
      <c r="I472" s="160">
        <v>0</v>
      </c>
      <c r="J472" s="15">
        <v>1596554.65</v>
      </c>
      <c r="K472" s="25" t="s">
        <v>461</v>
      </c>
      <c r="L472" s="285"/>
    </row>
    <row r="473" spans="1:12" s="277" customFormat="1" x14ac:dyDescent="0.25">
      <c r="A473" s="8" t="s">
        <v>0</v>
      </c>
      <c r="B473" s="39" t="s">
        <v>260</v>
      </c>
      <c r="C473" s="18" t="s">
        <v>4</v>
      </c>
      <c r="D473" s="11" t="s">
        <v>1260</v>
      </c>
      <c r="E473" s="12" t="s">
        <v>758</v>
      </c>
      <c r="F473" s="12" t="s">
        <v>2</v>
      </c>
      <c r="G473" s="12" t="s">
        <v>461</v>
      </c>
      <c r="H473" s="12" t="s">
        <v>461</v>
      </c>
      <c r="I473" s="160">
        <v>0</v>
      </c>
      <c r="J473" s="15">
        <v>147185808.55777779</v>
      </c>
      <c r="K473" s="25" t="s">
        <v>461</v>
      </c>
      <c r="L473" s="285"/>
    </row>
    <row r="474" spans="1:12" s="277" customFormat="1" x14ac:dyDescent="0.25">
      <c r="A474" s="8" t="s">
        <v>0</v>
      </c>
      <c r="B474" s="39" t="s">
        <v>261</v>
      </c>
      <c r="C474" s="18" t="s">
        <v>5</v>
      </c>
      <c r="D474" s="11">
        <v>92</v>
      </c>
      <c r="E474" s="12" t="s">
        <v>759</v>
      </c>
      <c r="F474" s="8" t="s">
        <v>2</v>
      </c>
      <c r="G474" s="12" t="s">
        <v>461</v>
      </c>
      <c r="H474" s="12" t="s">
        <v>461</v>
      </c>
      <c r="I474" s="160">
        <v>0</v>
      </c>
      <c r="J474" s="15">
        <v>327666.21999999997</v>
      </c>
      <c r="K474" s="25" t="s">
        <v>461</v>
      </c>
      <c r="L474" s="285"/>
    </row>
    <row r="475" spans="1:12" s="277" customFormat="1" x14ac:dyDescent="0.25">
      <c r="A475" s="8" t="s">
        <v>0</v>
      </c>
      <c r="B475" s="9" t="s">
        <v>685</v>
      </c>
      <c r="C475" s="19" t="s">
        <v>5</v>
      </c>
      <c r="D475" s="17"/>
      <c r="E475" s="12" t="s">
        <v>758</v>
      </c>
      <c r="F475" s="12" t="s">
        <v>2</v>
      </c>
      <c r="G475" s="12" t="s">
        <v>461</v>
      </c>
      <c r="H475" s="12" t="s">
        <v>461</v>
      </c>
      <c r="I475" s="160">
        <v>0</v>
      </c>
      <c r="J475" s="15">
        <v>916227.47</v>
      </c>
      <c r="K475" s="25">
        <v>41320</v>
      </c>
      <c r="L475" s="285"/>
    </row>
    <row r="476" spans="1:12" s="285" customFormat="1" x14ac:dyDescent="0.25">
      <c r="A476" s="8" t="s">
        <v>0</v>
      </c>
      <c r="B476" s="21" t="s">
        <v>599</v>
      </c>
      <c r="C476" s="44" t="s">
        <v>609</v>
      </c>
      <c r="D476" s="26">
        <v>42</v>
      </c>
      <c r="E476" s="8" t="s">
        <v>661</v>
      </c>
      <c r="F476" s="30" t="s">
        <v>2</v>
      </c>
      <c r="G476" s="12" t="s">
        <v>461</v>
      </c>
      <c r="H476" s="12" t="s">
        <v>461</v>
      </c>
      <c r="I476" s="160">
        <v>0</v>
      </c>
      <c r="J476" s="15">
        <v>427216.32</v>
      </c>
      <c r="K476" s="25" t="s">
        <v>461</v>
      </c>
    </row>
    <row r="477" spans="1:12" s="277" customFormat="1" x14ac:dyDescent="0.25">
      <c r="A477" s="8" t="s">
        <v>0</v>
      </c>
      <c r="B477" s="39" t="s">
        <v>262</v>
      </c>
      <c r="C477" s="18" t="s">
        <v>4</v>
      </c>
      <c r="D477" s="11">
        <v>3</v>
      </c>
      <c r="E477" s="12" t="s">
        <v>758</v>
      </c>
      <c r="F477" s="12" t="s">
        <v>2</v>
      </c>
      <c r="G477" s="12" t="s">
        <v>461</v>
      </c>
      <c r="H477" s="12" t="s">
        <v>461</v>
      </c>
      <c r="I477" s="160">
        <v>0</v>
      </c>
      <c r="J477" s="15">
        <v>1450000</v>
      </c>
      <c r="K477" s="13" t="s">
        <v>461</v>
      </c>
      <c r="L477" s="285"/>
    </row>
    <row r="478" spans="1:12" s="277" customFormat="1" x14ac:dyDescent="0.25">
      <c r="A478" s="8" t="s">
        <v>0</v>
      </c>
      <c r="B478" s="39" t="s">
        <v>263</v>
      </c>
      <c r="C478" s="18" t="s">
        <v>5</v>
      </c>
      <c r="D478" s="11"/>
      <c r="E478" s="12" t="s">
        <v>758</v>
      </c>
      <c r="F478" s="8" t="s">
        <v>2</v>
      </c>
      <c r="G478" s="12" t="s">
        <v>461</v>
      </c>
      <c r="H478" s="12" t="s">
        <v>461</v>
      </c>
      <c r="I478" s="160">
        <v>0</v>
      </c>
      <c r="J478" s="15">
        <v>454530</v>
      </c>
      <c r="K478" s="25">
        <v>41320</v>
      </c>
      <c r="L478" s="285"/>
    </row>
    <row r="479" spans="1:12" s="277" customFormat="1" x14ac:dyDescent="0.25">
      <c r="A479" s="8" t="s">
        <v>0</v>
      </c>
      <c r="B479" s="39" t="s">
        <v>264</v>
      </c>
      <c r="C479" s="19" t="s">
        <v>83</v>
      </c>
      <c r="D479" s="11">
        <v>42</v>
      </c>
      <c r="E479" s="12" t="s">
        <v>758</v>
      </c>
      <c r="F479" s="12" t="s">
        <v>2</v>
      </c>
      <c r="G479" s="12" t="s">
        <v>461</v>
      </c>
      <c r="H479" s="12" t="s">
        <v>461</v>
      </c>
      <c r="I479" s="160">
        <v>0</v>
      </c>
      <c r="J479" s="15">
        <v>453067</v>
      </c>
      <c r="K479" s="25" t="s">
        <v>461</v>
      </c>
      <c r="L479" s="285"/>
    </row>
    <row r="480" spans="1:12" s="277" customFormat="1" x14ac:dyDescent="0.25">
      <c r="A480" s="8" t="s">
        <v>0</v>
      </c>
      <c r="B480" s="39" t="s">
        <v>265</v>
      </c>
      <c r="C480" s="18" t="s">
        <v>5</v>
      </c>
      <c r="D480" s="11" t="s">
        <v>1260</v>
      </c>
      <c r="E480" s="12" t="s">
        <v>758</v>
      </c>
      <c r="F480" s="8" t="s">
        <v>2</v>
      </c>
      <c r="G480" s="12" t="s">
        <v>461</v>
      </c>
      <c r="H480" s="12" t="s">
        <v>461</v>
      </c>
      <c r="I480" s="160">
        <v>0</v>
      </c>
      <c r="J480" s="15">
        <v>1194458.33</v>
      </c>
      <c r="K480" s="25" t="s">
        <v>461</v>
      </c>
      <c r="L480" s="285"/>
    </row>
    <row r="481" spans="1:12" s="277" customFormat="1" x14ac:dyDescent="0.25">
      <c r="A481" s="8" t="s">
        <v>0</v>
      </c>
      <c r="B481" s="39" t="s">
        <v>266</v>
      </c>
      <c r="C481" s="18" t="s">
        <v>5</v>
      </c>
      <c r="D481" s="11"/>
      <c r="E481" s="12" t="s">
        <v>758</v>
      </c>
      <c r="F481" s="8" t="s">
        <v>2</v>
      </c>
      <c r="G481" s="12" t="s">
        <v>461</v>
      </c>
      <c r="H481" s="12" t="s">
        <v>461</v>
      </c>
      <c r="I481" s="160">
        <v>0</v>
      </c>
      <c r="J481" s="15">
        <v>124305.92</v>
      </c>
      <c r="K481" s="25">
        <v>41320</v>
      </c>
      <c r="L481" s="285"/>
    </row>
    <row r="482" spans="1:12" s="277" customFormat="1" x14ac:dyDescent="0.25">
      <c r="A482" s="8" t="s">
        <v>0</v>
      </c>
      <c r="B482" s="32" t="s">
        <v>575</v>
      </c>
      <c r="C482" s="18" t="s">
        <v>561</v>
      </c>
      <c r="D482" s="11">
        <v>65</v>
      </c>
      <c r="E482" s="12" t="s">
        <v>758</v>
      </c>
      <c r="F482" s="12" t="s">
        <v>2</v>
      </c>
      <c r="G482" s="12" t="s">
        <v>461</v>
      </c>
      <c r="H482" s="12" t="s">
        <v>461</v>
      </c>
      <c r="I482" s="160">
        <v>0</v>
      </c>
      <c r="J482" s="15">
        <v>1158113.3999999999</v>
      </c>
      <c r="K482" s="25" t="s">
        <v>461</v>
      </c>
      <c r="L482" s="285"/>
    </row>
    <row r="483" spans="1:12" s="277" customFormat="1" x14ac:dyDescent="0.25">
      <c r="A483" s="8" t="s">
        <v>0</v>
      </c>
      <c r="B483" s="39" t="s">
        <v>267</v>
      </c>
      <c r="C483" s="18" t="s">
        <v>5</v>
      </c>
      <c r="D483" s="11"/>
      <c r="E483" s="12" t="s">
        <v>759</v>
      </c>
      <c r="F483" s="8" t="s">
        <v>2</v>
      </c>
      <c r="G483" s="12" t="s">
        <v>461</v>
      </c>
      <c r="H483" s="12" t="s">
        <v>461</v>
      </c>
      <c r="I483" s="160">
        <v>0</v>
      </c>
      <c r="J483" s="15">
        <v>223377</v>
      </c>
      <c r="K483" s="25">
        <v>41320</v>
      </c>
      <c r="L483" s="285"/>
    </row>
    <row r="484" spans="1:12" s="277" customFormat="1" x14ac:dyDescent="0.25">
      <c r="A484" s="8" t="s">
        <v>0</v>
      </c>
      <c r="B484" s="39" t="s">
        <v>539</v>
      </c>
      <c r="C484" s="19" t="s">
        <v>4</v>
      </c>
      <c r="D484" s="11" t="s">
        <v>1260</v>
      </c>
      <c r="E484" s="12" t="s">
        <v>758</v>
      </c>
      <c r="F484" s="12" t="s">
        <v>2</v>
      </c>
      <c r="G484" s="12" t="s">
        <v>461</v>
      </c>
      <c r="H484" s="12" t="s">
        <v>461</v>
      </c>
      <c r="I484" s="160">
        <v>0</v>
      </c>
      <c r="J484" s="15">
        <v>1118093.6099999999</v>
      </c>
      <c r="K484" s="13" t="s">
        <v>461</v>
      </c>
      <c r="L484" s="285"/>
    </row>
    <row r="485" spans="1:12" s="277" customFormat="1" x14ac:dyDescent="0.25">
      <c r="A485" s="8" t="s">
        <v>0</v>
      </c>
      <c r="B485" s="9" t="s">
        <v>268</v>
      </c>
      <c r="C485" s="19" t="s">
        <v>4</v>
      </c>
      <c r="D485" s="11">
        <v>35</v>
      </c>
      <c r="E485" s="12" t="s">
        <v>758</v>
      </c>
      <c r="F485" s="12" t="s">
        <v>2</v>
      </c>
      <c r="G485" s="12" t="s">
        <v>461</v>
      </c>
      <c r="H485" s="12" t="s">
        <v>461</v>
      </c>
      <c r="I485" s="160">
        <v>0</v>
      </c>
      <c r="J485" s="15">
        <v>2430000</v>
      </c>
      <c r="K485" s="25" t="s">
        <v>461</v>
      </c>
      <c r="L485" s="285"/>
    </row>
    <row r="486" spans="1:12" s="277" customFormat="1" x14ac:dyDescent="0.25">
      <c r="A486" s="8" t="s">
        <v>0</v>
      </c>
      <c r="B486" s="39" t="s">
        <v>268</v>
      </c>
      <c r="C486" s="19" t="s">
        <v>815</v>
      </c>
      <c r="D486" s="11">
        <v>35</v>
      </c>
      <c r="E486" s="12" t="s">
        <v>758</v>
      </c>
      <c r="F486" s="12" t="s">
        <v>2</v>
      </c>
      <c r="G486" s="12" t="s">
        <v>461</v>
      </c>
      <c r="H486" s="12" t="s">
        <v>461</v>
      </c>
      <c r="I486" s="160">
        <v>0</v>
      </c>
      <c r="J486" s="15">
        <v>0</v>
      </c>
      <c r="K486" s="25">
        <v>41320</v>
      </c>
      <c r="L486" s="285"/>
    </row>
    <row r="487" spans="1:12" s="277" customFormat="1" x14ac:dyDescent="0.25">
      <c r="A487" s="8" t="s">
        <v>0</v>
      </c>
      <c r="B487" s="39" t="s">
        <v>269</v>
      </c>
      <c r="C487" s="18" t="s">
        <v>5</v>
      </c>
      <c r="D487" s="11"/>
      <c r="E487" s="12" t="s">
        <v>758</v>
      </c>
      <c r="F487" s="8" t="s">
        <v>2</v>
      </c>
      <c r="G487" s="12" t="s">
        <v>461</v>
      </c>
      <c r="H487" s="12" t="s">
        <v>461</v>
      </c>
      <c r="I487" s="160">
        <v>0</v>
      </c>
      <c r="J487" s="15">
        <v>165139</v>
      </c>
      <c r="K487" s="25">
        <v>41320</v>
      </c>
      <c r="L487" s="285"/>
    </row>
    <row r="488" spans="1:12" s="277" customFormat="1" x14ac:dyDescent="0.25">
      <c r="A488" s="8" t="s">
        <v>0</v>
      </c>
      <c r="B488" s="39" t="s">
        <v>270</v>
      </c>
      <c r="C488" s="18" t="s">
        <v>4</v>
      </c>
      <c r="D488" s="17" t="s">
        <v>1260</v>
      </c>
      <c r="E488" s="12" t="s">
        <v>758</v>
      </c>
      <c r="F488" s="8" t="s">
        <v>2</v>
      </c>
      <c r="G488" s="12" t="s">
        <v>461</v>
      </c>
      <c r="H488" s="12" t="s">
        <v>461</v>
      </c>
      <c r="I488" s="160">
        <v>0</v>
      </c>
      <c r="J488" s="15">
        <v>4031250</v>
      </c>
      <c r="K488" s="25" t="s">
        <v>461</v>
      </c>
      <c r="L488" s="285"/>
    </row>
    <row r="489" spans="1:12" s="277" customFormat="1" x14ac:dyDescent="0.25">
      <c r="A489" s="8" t="s">
        <v>0</v>
      </c>
      <c r="B489" s="39" t="s">
        <v>271</v>
      </c>
      <c r="C489" s="18" t="s">
        <v>4</v>
      </c>
      <c r="D489" s="17" t="s">
        <v>915</v>
      </c>
      <c r="E489" s="12" t="s">
        <v>758</v>
      </c>
      <c r="F489" s="12" t="s">
        <v>2</v>
      </c>
      <c r="G489" s="12" t="s">
        <v>461</v>
      </c>
      <c r="H489" s="12" t="s">
        <v>461</v>
      </c>
      <c r="I489" s="160">
        <v>0</v>
      </c>
      <c r="J489" s="15">
        <v>1950340</v>
      </c>
      <c r="K489" s="25" t="s">
        <v>461</v>
      </c>
      <c r="L489" s="285"/>
    </row>
    <row r="490" spans="1:12" s="277" customFormat="1" x14ac:dyDescent="0.25">
      <c r="A490" s="8" t="s">
        <v>0</v>
      </c>
      <c r="B490" s="39" t="s">
        <v>272</v>
      </c>
      <c r="C490" s="18" t="s">
        <v>4</v>
      </c>
      <c r="D490" s="11"/>
      <c r="E490" s="12" t="s">
        <v>758</v>
      </c>
      <c r="F490" s="8" t="s">
        <v>2</v>
      </c>
      <c r="G490" s="12" t="s">
        <v>461</v>
      </c>
      <c r="H490" s="12" t="s">
        <v>461</v>
      </c>
      <c r="I490" s="160">
        <v>0</v>
      </c>
      <c r="J490" s="15">
        <v>5576134.2300000004</v>
      </c>
      <c r="K490" s="25">
        <v>41320</v>
      </c>
      <c r="L490" s="285"/>
    </row>
    <row r="491" spans="1:12" s="277" customFormat="1" x14ac:dyDescent="0.25">
      <c r="A491" s="281" t="s">
        <v>0</v>
      </c>
      <c r="B491" s="253" t="s">
        <v>273</v>
      </c>
      <c r="C491" s="254" t="s">
        <v>4</v>
      </c>
      <c r="D491" s="280" t="s">
        <v>1260</v>
      </c>
      <c r="E491" s="278" t="s">
        <v>758</v>
      </c>
      <c r="F491" s="281" t="s">
        <v>2</v>
      </c>
      <c r="G491" s="12" t="s">
        <v>461</v>
      </c>
      <c r="H491" s="12" t="s">
        <v>461</v>
      </c>
      <c r="I491" s="160">
        <v>0</v>
      </c>
      <c r="J491" s="15">
        <v>41520138.890000001</v>
      </c>
      <c r="K491" s="258" t="s">
        <v>461</v>
      </c>
      <c r="L491" s="285"/>
    </row>
    <row r="492" spans="1:12" s="277" customFormat="1" x14ac:dyDescent="0.25">
      <c r="A492" s="8" t="s">
        <v>0</v>
      </c>
      <c r="B492" s="39" t="s">
        <v>274</v>
      </c>
      <c r="C492" s="18" t="s">
        <v>4</v>
      </c>
      <c r="D492" s="11"/>
      <c r="E492" s="12" t="s">
        <v>758</v>
      </c>
      <c r="F492" s="8" t="s">
        <v>2</v>
      </c>
      <c r="G492" s="12" t="s">
        <v>461</v>
      </c>
      <c r="H492" s="12" t="s">
        <v>461</v>
      </c>
      <c r="I492" s="160">
        <v>0</v>
      </c>
      <c r="J492" s="15">
        <v>1118055.56</v>
      </c>
      <c r="K492" s="25">
        <v>41320</v>
      </c>
      <c r="L492" s="285"/>
    </row>
    <row r="493" spans="1:12" s="285" customFormat="1" x14ac:dyDescent="0.25">
      <c r="A493" s="8" t="s">
        <v>0</v>
      </c>
      <c r="B493" s="31" t="s">
        <v>600</v>
      </c>
      <c r="C493" s="44" t="s">
        <v>560</v>
      </c>
      <c r="D493" s="26" t="s">
        <v>915</v>
      </c>
      <c r="E493" s="8" t="s">
        <v>661</v>
      </c>
      <c r="F493" s="30" t="s">
        <v>2</v>
      </c>
      <c r="G493" s="12" t="s">
        <v>461</v>
      </c>
      <c r="H493" s="12" t="s">
        <v>461</v>
      </c>
      <c r="I493" s="160">
        <v>0</v>
      </c>
      <c r="J493" s="15">
        <v>174324.6</v>
      </c>
      <c r="K493" s="25" t="s">
        <v>461</v>
      </c>
    </row>
    <row r="494" spans="1:12" s="277" customFormat="1" x14ac:dyDescent="0.25">
      <c r="A494" s="8" t="s">
        <v>0</v>
      </c>
      <c r="B494" s="39" t="s">
        <v>275</v>
      </c>
      <c r="C494" s="18" t="s">
        <v>4</v>
      </c>
      <c r="D494" s="11" t="s">
        <v>1260</v>
      </c>
      <c r="E494" s="12" t="s">
        <v>758</v>
      </c>
      <c r="F494" s="12" t="s">
        <v>2</v>
      </c>
      <c r="G494" s="12" t="s">
        <v>461</v>
      </c>
      <c r="H494" s="12" t="s">
        <v>461</v>
      </c>
      <c r="I494" s="160">
        <v>0</v>
      </c>
      <c r="J494" s="15">
        <v>795138888.88999987</v>
      </c>
      <c r="K494" s="13" t="s">
        <v>461</v>
      </c>
      <c r="L494" s="285"/>
    </row>
    <row r="495" spans="1:12" s="277" customFormat="1" x14ac:dyDescent="0.25">
      <c r="A495" s="281" t="s">
        <v>0</v>
      </c>
      <c r="B495" s="253" t="s">
        <v>276</v>
      </c>
      <c r="C495" s="254" t="s">
        <v>5</v>
      </c>
      <c r="D495" s="280">
        <v>65</v>
      </c>
      <c r="E495" s="278" t="s">
        <v>758</v>
      </c>
      <c r="F495" s="12" t="s">
        <v>2</v>
      </c>
      <c r="G495" s="12" t="s">
        <v>461</v>
      </c>
      <c r="H495" s="12" t="s">
        <v>461</v>
      </c>
      <c r="I495" s="160">
        <v>0</v>
      </c>
      <c r="J495" s="15">
        <v>1452046.75</v>
      </c>
      <c r="K495" s="258" t="s">
        <v>461</v>
      </c>
      <c r="L495" s="285"/>
    </row>
    <row r="496" spans="1:12" s="277" customFormat="1" x14ac:dyDescent="0.25">
      <c r="A496" s="8" t="s">
        <v>0</v>
      </c>
      <c r="B496" s="39" t="s">
        <v>277</v>
      </c>
      <c r="C496" s="18" t="s">
        <v>4</v>
      </c>
      <c r="D496" s="11" t="s">
        <v>1260</v>
      </c>
      <c r="E496" s="12" t="s">
        <v>758</v>
      </c>
      <c r="F496" s="12" t="s">
        <v>2</v>
      </c>
      <c r="G496" s="12" t="s">
        <v>461</v>
      </c>
      <c r="H496" s="12" t="s">
        <v>461</v>
      </c>
      <c r="I496" s="160">
        <v>0</v>
      </c>
      <c r="J496" s="15">
        <v>297222222.22000003</v>
      </c>
      <c r="K496" s="25" t="s">
        <v>461</v>
      </c>
      <c r="L496" s="285"/>
    </row>
    <row r="497" spans="1:12" s="277" customFormat="1" x14ac:dyDescent="0.25">
      <c r="A497" s="8" t="s">
        <v>0</v>
      </c>
      <c r="B497" s="39" t="s">
        <v>278</v>
      </c>
      <c r="C497" s="18" t="s">
        <v>5</v>
      </c>
      <c r="D497" s="11"/>
      <c r="E497" s="12" t="s">
        <v>758</v>
      </c>
      <c r="F497" s="8" t="s">
        <v>2</v>
      </c>
      <c r="G497" s="12" t="s">
        <v>461</v>
      </c>
      <c r="H497" s="12" t="s">
        <v>461</v>
      </c>
      <c r="I497" s="160">
        <v>0</v>
      </c>
      <c r="J497" s="15">
        <v>93730</v>
      </c>
      <c r="K497" s="25">
        <v>41320</v>
      </c>
      <c r="L497" s="285"/>
    </row>
    <row r="498" spans="1:12" s="277" customFormat="1" x14ac:dyDescent="0.25">
      <c r="A498" s="281" t="s">
        <v>0</v>
      </c>
      <c r="B498" s="251" t="s">
        <v>673</v>
      </c>
      <c r="C498" s="256" t="s">
        <v>5</v>
      </c>
      <c r="D498" s="280">
        <v>92</v>
      </c>
      <c r="E498" s="278" t="s">
        <v>758</v>
      </c>
      <c r="F498" s="281" t="s">
        <v>2</v>
      </c>
      <c r="G498" s="12" t="s">
        <v>461</v>
      </c>
      <c r="H498" s="12" t="s">
        <v>461</v>
      </c>
      <c r="I498" s="160">
        <v>0</v>
      </c>
      <c r="J498" s="15">
        <v>713936.64</v>
      </c>
      <c r="K498" s="258" t="s">
        <v>461</v>
      </c>
      <c r="L498" s="285"/>
    </row>
    <row r="499" spans="1:12" s="277" customFormat="1" x14ac:dyDescent="0.25">
      <c r="A499" s="8" t="s">
        <v>0</v>
      </c>
      <c r="B499" s="39" t="s">
        <v>279</v>
      </c>
      <c r="C499" s="18" t="s">
        <v>5</v>
      </c>
      <c r="D499" s="11">
        <v>42</v>
      </c>
      <c r="E499" s="12" t="s">
        <v>758</v>
      </c>
      <c r="F499" s="12" t="s">
        <v>2</v>
      </c>
      <c r="G499" s="12" t="s">
        <v>461</v>
      </c>
      <c r="H499" s="12" t="s">
        <v>461</v>
      </c>
      <c r="I499" s="160">
        <v>0</v>
      </c>
      <c r="J499" s="15">
        <v>267134.49555555556</v>
      </c>
      <c r="K499" s="25" t="s">
        <v>461</v>
      </c>
      <c r="L499" s="285"/>
    </row>
    <row r="500" spans="1:12" s="277" customFormat="1" x14ac:dyDescent="0.25">
      <c r="A500" s="8" t="s">
        <v>0</v>
      </c>
      <c r="B500" s="39" t="s">
        <v>280</v>
      </c>
      <c r="C500" s="18" t="s">
        <v>4</v>
      </c>
      <c r="D500" s="11" t="s">
        <v>1260</v>
      </c>
      <c r="E500" s="12" t="s">
        <v>758</v>
      </c>
      <c r="F500" s="12" t="s">
        <v>2</v>
      </c>
      <c r="G500" s="12" t="s">
        <v>461</v>
      </c>
      <c r="H500" s="12" t="s">
        <v>461</v>
      </c>
      <c r="I500" s="160">
        <v>0</v>
      </c>
      <c r="J500" s="15">
        <v>6460833.3300000001</v>
      </c>
      <c r="K500" s="25" t="s">
        <v>461</v>
      </c>
      <c r="L500" s="285"/>
    </row>
    <row r="501" spans="1:12" s="277" customFormat="1" x14ac:dyDescent="0.25">
      <c r="A501" s="8" t="s">
        <v>0</v>
      </c>
      <c r="B501" s="39" t="s">
        <v>281</v>
      </c>
      <c r="C501" s="18" t="s">
        <v>4</v>
      </c>
      <c r="D501" s="11">
        <v>3</v>
      </c>
      <c r="E501" s="12" t="s">
        <v>758</v>
      </c>
      <c r="F501" s="12" t="s">
        <v>2</v>
      </c>
      <c r="G501" s="12" t="s">
        <v>461</v>
      </c>
      <c r="H501" s="12" t="s">
        <v>461</v>
      </c>
      <c r="I501" s="160">
        <v>0</v>
      </c>
      <c r="J501" s="15">
        <v>3596156.33</v>
      </c>
      <c r="K501" s="25" t="s">
        <v>461</v>
      </c>
      <c r="L501" s="285"/>
    </row>
    <row r="502" spans="1:12" s="277" customFormat="1" x14ac:dyDescent="0.25">
      <c r="A502" s="281" t="s">
        <v>0</v>
      </c>
      <c r="B502" s="251" t="s">
        <v>719</v>
      </c>
      <c r="C502" s="256" t="s">
        <v>5</v>
      </c>
      <c r="D502" s="280">
        <v>92</v>
      </c>
      <c r="E502" s="278" t="s">
        <v>758</v>
      </c>
      <c r="F502" s="278" t="s">
        <v>2</v>
      </c>
      <c r="G502" s="12" t="s">
        <v>461</v>
      </c>
      <c r="H502" s="12" t="s">
        <v>461</v>
      </c>
      <c r="I502" s="160">
        <v>0</v>
      </c>
      <c r="J502" s="15">
        <v>481857.5</v>
      </c>
      <c r="K502" s="258" t="s">
        <v>461</v>
      </c>
      <c r="L502" s="285"/>
    </row>
    <row r="503" spans="1:12" s="277" customFormat="1" x14ac:dyDescent="0.25">
      <c r="A503" s="8" t="s">
        <v>0</v>
      </c>
      <c r="B503" s="39" t="s">
        <v>282</v>
      </c>
      <c r="C503" s="18" t="s">
        <v>4</v>
      </c>
      <c r="D503" s="11" t="s">
        <v>1260</v>
      </c>
      <c r="E503" s="12" t="s">
        <v>758</v>
      </c>
      <c r="F503" s="12" t="s">
        <v>2</v>
      </c>
      <c r="G503" s="12" t="s">
        <v>461</v>
      </c>
      <c r="H503" s="12" t="s">
        <v>461</v>
      </c>
      <c r="I503" s="160">
        <v>0</v>
      </c>
      <c r="J503" s="15">
        <v>524833.32999999996</v>
      </c>
      <c r="K503" s="13" t="s">
        <v>461</v>
      </c>
      <c r="L503" s="285"/>
    </row>
    <row r="504" spans="1:12" s="277" customFormat="1" x14ac:dyDescent="0.25">
      <c r="A504" s="281" t="s">
        <v>0</v>
      </c>
      <c r="B504" s="245" t="s">
        <v>283</v>
      </c>
      <c r="C504" s="246" t="s">
        <v>5</v>
      </c>
      <c r="D504" s="11" t="s">
        <v>1260</v>
      </c>
      <c r="E504" s="12" t="s">
        <v>758</v>
      </c>
      <c r="F504" s="12" t="s">
        <v>2</v>
      </c>
      <c r="G504" s="12" t="s">
        <v>461</v>
      </c>
      <c r="H504" s="12" t="s">
        <v>461</v>
      </c>
      <c r="I504" s="160">
        <v>0</v>
      </c>
      <c r="J504" s="15">
        <v>609961.06000000006</v>
      </c>
      <c r="K504" s="258" t="s">
        <v>461</v>
      </c>
      <c r="L504" s="285"/>
    </row>
    <row r="505" spans="1:12" s="277" customFormat="1" x14ac:dyDescent="0.25">
      <c r="A505" s="8" t="s">
        <v>0</v>
      </c>
      <c r="B505" s="39" t="s">
        <v>284</v>
      </c>
      <c r="C505" s="18" t="s">
        <v>106</v>
      </c>
      <c r="D505" s="17" t="s">
        <v>915</v>
      </c>
      <c r="E505" s="12" t="s">
        <v>758</v>
      </c>
      <c r="F505" s="12" t="s">
        <v>2</v>
      </c>
      <c r="G505" s="12" t="s">
        <v>461</v>
      </c>
      <c r="H505" s="12" t="s">
        <v>461</v>
      </c>
      <c r="I505" s="160">
        <v>0</v>
      </c>
      <c r="J505" s="15">
        <v>355079</v>
      </c>
      <c r="K505" s="12" t="s">
        <v>461</v>
      </c>
      <c r="L505" s="285"/>
    </row>
    <row r="506" spans="1:12" s="277" customFormat="1" x14ac:dyDescent="0.25">
      <c r="A506" s="281" t="s">
        <v>0</v>
      </c>
      <c r="B506" s="253" t="s">
        <v>551</v>
      </c>
      <c r="C506" s="254" t="s">
        <v>5</v>
      </c>
      <c r="D506" s="280">
        <v>66</v>
      </c>
      <c r="E506" s="278" t="s">
        <v>758</v>
      </c>
      <c r="F506" s="12" t="s">
        <v>2</v>
      </c>
      <c r="G506" s="12" t="s">
        <v>461</v>
      </c>
      <c r="H506" s="12" t="s">
        <v>461</v>
      </c>
      <c r="I506" s="160">
        <v>0</v>
      </c>
      <c r="J506" s="15">
        <v>3000452.08</v>
      </c>
      <c r="K506" s="258" t="s">
        <v>461</v>
      </c>
      <c r="L506" s="285"/>
    </row>
    <row r="507" spans="1:12" s="277" customFormat="1" x14ac:dyDescent="0.25">
      <c r="A507" s="8" t="s">
        <v>0</v>
      </c>
      <c r="B507" s="39" t="s">
        <v>552</v>
      </c>
      <c r="C507" s="18" t="s">
        <v>5</v>
      </c>
      <c r="D507" s="11">
        <v>66</v>
      </c>
      <c r="E507" s="12" t="s">
        <v>758</v>
      </c>
      <c r="F507" s="12" t="s">
        <v>2</v>
      </c>
      <c r="G507" s="12" t="s">
        <v>461</v>
      </c>
      <c r="H507" s="12" t="s">
        <v>461</v>
      </c>
      <c r="I507" s="160">
        <v>0</v>
      </c>
      <c r="J507" s="15">
        <v>7816965.7699999996</v>
      </c>
      <c r="K507" s="25" t="s">
        <v>461</v>
      </c>
      <c r="L507" s="285"/>
    </row>
    <row r="508" spans="1:12" s="277" customFormat="1" x14ac:dyDescent="0.25">
      <c r="A508" s="8" t="s">
        <v>0</v>
      </c>
      <c r="B508" s="9" t="s">
        <v>715</v>
      </c>
      <c r="C508" s="19" t="s">
        <v>561</v>
      </c>
      <c r="D508" s="11"/>
      <c r="E508" s="12" t="s">
        <v>758</v>
      </c>
      <c r="F508" s="12" t="s">
        <v>2</v>
      </c>
      <c r="G508" s="12" t="s">
        <v>461</v>
      </c>
      <c r="H508" s="12" t="s">
        <v>461</v>
      </c>
      <c r="I508" s="160">
        <v>0</v>
      </c>
      <c r="J508" s="15">
        <v>1009836.22</v>
      </c>
      <c r="K508" s="25">
        <v>41320</v>
      </c>
      <c r="L508" s="285"/>
    </row>
    <row r="509" spans="1:12" s="277" customFormat="1" x14ac:dyDescent="0.25">
      <c r="A509" s="8" t="s">
        <v>0</v>
      </c>
      <c r="B509" s="39" t="s">
        <v>285</v>
      </c>
      <c r="C509" s="18" t="s">
        <v>106</v>
      </c>
      <c r="D509" s="11">
        <v>42</v>
      </c>
      <c r="E509" s="12" t="s">
        <v>758</v>
      </c>
      <c r="F509" s="12" t="s">
        <v>2</v>
      </c>
      <c r="G509" s="12" t="s">
        <v>461</v>
      </c>
      <c r="H509" s="12" t="s">
        <v>461</v>
      </c>
      <c r="I509" s="160">
        <v>0</v>
      </c>
      <c r="J509" s="15">
        <v>461008.58</v>
      </c>
      <c r="K509" s="25" t="s">
        <v>461</v>
      </c>
      <c r="L509" s="285"/>
    </row>
    <row r="510" spans="1:12" s="277" customFormat="1" x14ac:dyDescent="0.25">
      <c r="A510" s="8" t="s">
        <v>0</v>
      </c>
      <c r="B510" s="39" t="s">
        <v>286</v>
      </c>
      <c r="C510" s="18" t="s">
        <v>5</v>
      </c>
      <c r="D510" s="11"/>
      <c r="E510" s="12" t="s">
        <v>758</v>
      </c>
      <c r="F510" s="8" t="s">
        <v>2</v>
      </c>
      <c r="G510" s="12" t="s">
        <v>461</v>
      </c>
      <c r="H510" s="12" t="s">
        <v>461</v>
      </c>
      <c r="I510" s="160">
        <v>0</v>
      </c>
      <c r="J510" s="15">
        <v>1399560</v>
      </c>
      <c r="K510" s="25">
        <v>41320</v>
      </c>
      <c r="L510" s="285"/>
    </row>
    <row r="511" spans="1:12" s="277" customFormat="1" x14ac:dyDescent="0.25">
      <c r="A511" s="8" t="s">
        <v>0</v>
      </c>
      <c r="B511" s="9" t="s">
        <v>652</v>
      </c>
      <c r="C511" s="18" t="s">
        <v>4</v>
      </c>
      <c r="D511" s="11" t="s">
        <v>1260</v>
      </c>
      <c r="E511" s="12" t="s">
        <v>758</v>
      </c>
      <c r="F511" s="12" t="s">
        <v>2</v>
      </c>
      <c r="G511" s="12" t="s">
        <v>461</v>
      </c>
      <c r="H511" s="12" t="s">
        <v>461</v>
      </c>
      <c r="I511" s="160">
        <v>0</v>
      </c>
      <c r="J511" s="15">
        <v>46180554.5</v>
      </c>
      <c r="K511" s="25" t="s">
        <v>461</v>
      </c>
      <c r="L511" s="285"/>
    </row>
    <row r="512" spans="1:12" s="277" customFormat="1" x14ac:dyDescent="0.25">
      <c r="A512" s="8" t="s">
        <v>0</v>
      </c>
      <c r="B512" s="39" t="s">
        <v>287</v>
      </c>
      <c r="C512" s="18" t="s">
        <v>4</v>
      </c>
      <c r="D512" s="11">
        <v>80</v>
      </c>
      <c r="E512" s="12" t="s">
        <v>758</v>
      </c>
      <c r="F512" s="12" t="s">
        <v>2</v>
      </c>
      <c r="G512" s="12" t="s">
        <v>461</v>
      </c>
      <c r="H512" s="12" t="s">
        <v>461</v>
      </c>
      <c r="I512" s="160">
        <v>0</v>
      </c>
      <c r="J512" s="15">
        <v>4438491.8099999996</v>
      </c>
      <c r="K512" s="12" t="s">
        <v>461</v>
      </c>
      <c r="L512" s="285"/>
    </row>
    <row r="513" spans="1:12" s="277" customFormat="1" x14ac:dyDescent="0.25">
      <c r="A513" s="8" t="s">
        <v>0</v>
      </c>
      <c r="B513" s="39" t="s">
        <v>288</v>
      </c>
      <c r="C513" s="18" t="s">
        <v>5</v>
      </c>
      <c r="D513" s="11"/>
      <c r="E513" s="12" t="s">
        <v>759</v>
      </c>
      <c r="F513" s="8" t="s">
        <v>2</v>
      </c>
      <c r="G513" s="12" t="s">
        <v>461</v>
      </c>
      <c r="H513" s="12" t="s">
        <v>461</v>
      </c>
      <c r="I513" s="160">
        <v>0</v>
      </c>
      <c r="J513" s="15">
        <v>0</v>
      </c>
      <c r="K513" s="25">
        <v>41320</v>
      </c>
      <c r="L513" s="285"/>
    </row>
    <row r="514" spans="1:12" s="277" customFormat="1" x14ac:dyDescent="0.25">
      <c r="A514" s="8" t="s">
        <v>0</v>
      </c>
      <c r="B514" s="9" t="s">
        <v>289</v>
      </c>
      <c r="C514" s="18" t="s">
        <v>4</v>
      </c>
      <c r="D514" s="11" t="s">
        <v>1260</v>
      </c>
      <c r="E514" s="12" t="s">
        <v>758</v>
      </c>
      <c r="F514" s="12" t="s">
        <v>2</v>
      </c>
      <c r="G514" s="12" t="s">
        <v>461</v>
      </c>
      <c r="H514" s="12" t="s">
        <v>461</v>
      </c>
      <c r="I514" s="160">
        <v>0</v>
      </c>
      <c r="J514" s="15">
        <v>700000</v>
      </c>
      <c r="K514" s="13" t="s">
        <v>461</v>
      </c>
      <c r="L514" s="285"/>
    </row>
    <row r="515" spans="1:12" s="277" customFormat="1" x14ac:dyDescent="0.25">
      <c r="A515" s="8" t="s">
        <v>0</v>
      </c>
      <c r="B515" s="39" t="s">
        <v>624</v>
      </c>
      <c r="C515" s="45" t="s">
        <v>106</v>
      </c>
      <c r="D515" s="11">
        <v>42</v>
      </c>
      <c r="E515" s="12" t="s">
        <v>758</v>
      </c>
      <c r="F515" s="13" t="s">
        <v>2</v>
      </c>
      <c r="G515" s="12" t="s">
        <v>461</v>
      </c>
      <c r="H515" s="12" t="s">
        <v>461</v>
      </c>
      <c r="I515" s="160">
        <v>0</v>
      </c>
      <c r="J515" s="15">
        <v>674762.5</v>
      </c>
      <c r="K515" s="25" t="s">
        <v>461</v>
      </c>
      <c r="L515" s="285"/>
    </row>
    <row r="516" spans="1:12" s="277" customFormat="1" x14ac:dyDescent="0.25">
      <c r="A516" s="281" t="s">
        <v>0</v>
      </c>
      <c r="B516" s="251" t="s">
        <v>290</v>
      </c>
      <c r="C516" s="254" t="s">
        <v>4</v>
      </c>
      <c r="D516" s="280">
        <v>90</v>
      </c>
      <c r="E516" s="278" t="s">
        <v>758</v>
      </c>
      <c r="F516" s="12" t="s">
        <v>2</v>
      </c>
      <c r="G516" s="12" t="s">
        <v>461</v>
      </c>
      <c r="H516" s="12" t="s">
        <v>461</v>
      </c>
      <c r="I516" s="160">
        <v>0</v>
      </c>
      <c r="J516" s="15">
        <v>86553400</v>
      </c>
      <c r="K516" s="258" t="s">
        <v>461</v>
      </c>
      <c r="L516" s="285"/>
    </row>
    <row r="517" spans="1:12" s="277" customFormat="1" x14ac:dyDescent="0.25">
      <c r="A517" s="8" t="s">
        <v>0</v>
      </c>
      <c r="B517" s="39" t="s">
        <v>291</v>
      </c>
      <c r="C517" s="18" t="s">
        <v>4</v>
      </c>
      <c r="D517" s="280">
        <v>80</v>
      </c>
      <c r="E517" s="12" t="s">
        <v>758</v>
      </c>
      <c r="F517" s="12" t="s">
        <v>2</v>
      </c>
      <c r="G517" s="12" t="s">
        <v>461</v>
      </c>
      <c r="H517" s="12" t="s">
        <v>461</v>
      </c>
      <c r="I517" s="160">
        <v>0</v>
      </c>
      <c r="J517" s="15">
        <v>1840923</v>
      </c>
      <c r="K517" s="258" t="s">
        <v>461</v>
      </c>
      <c r="L517" s="285"/>
    </row>
    <row r="518" spans="1:12" s="277" customFormat="1" x14ac:dyDescent="0.25">
      <c r="A518" s="8" t="s">
        <v>0</v>
      </c>
      <c r="B518" s="39" t="s">
        <v>292</v>
      </c>
      <c r="C518" s="18" t="s">
        <v>5</v>
      </c>
      <c r="D518" s="11"/>
      <c r="E518" s="12" t="s">
        <v>758</v>
      </c>
      <c r="F518" s="8" t="s">
        <v>2</v>
      </c>
      <c r="G518" s="12" t="s">
        <v>461</v>
      </c>
      <c r="H518" s="12" t="s">
        <v>461</v>
      </c>
      <c r="I518" s="160">
        <v>0</v>
      </c>
      <c r="J518" s="15">
        <v>169421.5</v>
      </c>
      <c r="K518" s="25">
        <v>41320</v>
      </c>
      <c r="L518" s="285"/>
    </row>
    <row r="519" spans="1:12" s="277" customFormat="1" x14ac:dyDescent="0.25">
      <c r="A519" s="281" t="s">
        <v>0</v>
      </c>
      <c r="B519" s="253" t="s">
        <v>293</v>
      </c>
      <c r="C519" s="254" t="s">
        <v>5</v>
      </c>
      <c r="D519" s="280">
        <v>65</v>
      </c>
      <c r="E519" s="278" t="s">
        <v>759</v>
      </c>
      <c r="F519" s="12" t="s">
        <v>2</v>
      </c>
      <c r="G519" s="12" t="s">
        <v>461</v>
      </c>
      <c r="H519" s="12" t="s">
        <v>461</v>
      </c>
      <c r="I519" s="160">
        <v>0</v>
      </c>
      <c r="J519" s="15">
        <v>1661467.87</v>
      </c>
      <c r="K519" s="258" t="s">
        <v>461</v>
      </c>
      <c r="L519" s="285"/>
    </row>
    <row r="520" spans="1:12" s="277" customFormat="1" x14ac:dyDescent="0.25">
      <c r="A520" s="8" t="s">
        <v>0</v>
      </c>
      <c r="B520" s="9" t="s">
        <v>725</v>
      </c>
      <c r="C520" s="18" t="s">
        <v>5</v>
      </c>
      <c r="D520" s="11">
        <v>79</v>
      </c>
      <c r="E520" s="12" t="s">
        <v>758</v>
      </c>
      <c r="F520" s="12" t="s">
        <v>2</v>
      </c>
      <c r="G520" s="12" t="s">
        <v>461</v>
      </c>
      <c r="H520" s="12" t="s">
        <v>461</v>
      </c>
      <c r="I520" s="160">
        <v>0</v>
      </c>
      <c r="J520" s="15">
        <v>538187.5</v>
      </c>
      <c r="K520" s="25" t="s">
        <v>461</v>
      </c>
      <c r="L520" s="285"/>
    </row>
    <row r="521" spans="1:12" s="277" customFormat="1" x14ac:dyDescent="0.25">
      <c r="A521" s="8" t="s">
        <v>0</v>
      </c>
      <c r="B521" s="39" t="s">
        <v>294</v>
      </c>
      <c r="C521" s="18" t="s">
        <v>4</v>
      </c>
      <c r="D521" s="11">
        <v>80</v>
      </c>
      <c r="E521" s="12" t="s">
        <v>758</v>
      </c>
      <c r="F521" s="12" t="s">
        <v>2</v>
      </c>
      <c r="G521" s="12" t="s">
        <v>461</v>
      </c>
      <c r="H521" s="12" t="s">
        <v>461</v>
      </c>
      <c r="I521" s="160">
        <v>0</v>
      </c>
      <c r="J521" s="15">
        <v>9159773.3300000001</v>
      </c>
      <c r="K521" s="25" t="s">
        <v>461</v>
      </c>
      <c r="L521" s="285"/>
    </row>
    <row r="522" spans="1:12" s="277" customFormat="1" x14ac:dyDescent="0.25">
      <c r="A522" s="8" t="s">
        <v>0</v>
      </c>
      <c r="B522" s="39" t="s">
        <v>295</v>
      </c>
      <c r="C522" s="18" t="s">
        <v>4</v>
      </c>
      <c r="D522" s="11" t="s">
        <v>1260</v>
      </c>
      <c r="E522" s="12" t="s">
        <v>758</v>
      </c>
      <c r="F522" s="12" t="s">
        <v>2</v>
      </c>
      <c r="G522" s="12" t="s">
        <v>461</v>
      </c>
      <c r="H522" s="12" t="s">
        <v>461</v>
      </c>
      <c r="I522" s="160">
        <v>0</v>
      </c>
      <c r="J522" s="15">
        <v>66347.22</v>
      </c>
      <c r="K522" s="13" t="s">
        <v>461</v>
      </c>
      <c r="L522" s="285"/>
    </row>
    <row r="523" spans="1:12" s="285" customFormat="1" x14ac:dyDescent="0.25">
      <c r="A523" s="8" t="s">
        <v>0</v>
      </c>
      <c r="B523" s="39" t="s">
        <v>631</v>
      </c>
      <c r="C523" s="45" t="s">
        <v>560</v>
      </c>
      <c r="D523" s="11">
        <v>92</v>
      </c>
      <c r="E523" s="8" t="s">
        <v>661</v>
      </c>
      <c r="F523" s="30" t="s">
        <v>2</v>
      </c>
      <c r="G523" s="12" t="s">
        <v>461</v>
      </c>
      <c r="H523" s="12" t="s">
        <v>461</v>
      </c>
      <c r="I523" s="160">
        <v>0</v>
      </c>
      <c r="J523" s="15">
        <v>770043.86</v>
      </c>
      <c r="K523" s="25" t="s">
        <v>461</v>
      </c>
    </row>
    <row r="524" spans="1:12" s="277" customFormat="1" x14ac:dyDescent="0.25">
      <c r="A524" s="8" t="s">
        <v>0</v>
      </c>
      <c r="B524" s="9" t="s">
        <v>296</v>
      </c>
      <c r="C524" s="18" t="s">
        <v>5</v>
      </c>
      <c r="D524" s="11"/>
      <c r="E524" s="12" t="s">
        <v>759</v>
      </c>
      <c r="F524" s="8" t="s">
        <v>2</v>
      </c>
      <c r="G524" s="12" t="s">
        <v>461</v>
      </c>
      <c r="H524" s="12" t="s">
        <v>461</v>
      </c>
      <c r="I524" s="160">
        <v>0</v>
      </c>
      <c r="J524" s="15">
        <v>235713</v>
      </c>
      <c r="K524" s="25">
        <v>41320</v>
      </c>
      <c r="L524" s="285"/>
    </row>
    <row r="525" spans="1:12" s="277" customFormat="1" x14ac:dyDescent="0.25">
      <c r="A525" s="8" t="s">
        <v>0</v>
      </c>
      <c r="B525" s="39" t="s">
        <v>297</v>
      </c>
      <c r="C525" s="18" t="s">
        <v>5</v>
      </c>
      <c r="D525" s="11"/>
      <c r="E525" s="12" t="s">
        <v>758</v>
      </c>
      <c r="F525" s="8" t="s">
        <v>2</v>
      </c>
      <c r="G525" s="12" t="s">
        <v>461</v>
      </c>
      <c r="H525" s="12" t="s">
        <v>461</v>
      </c>
      <c r="I525" s="160">
        <v>0</v>
      </c>
      <c r="J525" s="15">
        <v>138778</v>
      </c>
      <c r="K525" s="25">
        <v>41320</v>
      </c>
      <c r="L525" s="285"/>
    </row>
    <row r="526" spans="1:12" s="285" customFormat="1" x14ac:dyDescent="0.25">
      <c r="A526" s="8" t="s">
        <v>0</v>
      </c>
      <c r="B526" s="21" t="s">
        <v>601</v>
      </c>
      <c r="C526" s="44" t="s">
        <v>560</v>
      </c>
      <c r="D526" s="26">
        <v>92</v>
      </c>
      <c r="E526" s="8" t="s">
        <v>661</v>
      </c>
      <c r="F526" s="30" t="s">
        <v>2</v>
      </c>
      <c r="G526" s="12" t="s">
        <v>461</v>
      </c>
      <c r="H526" s="12" t="s">
        <v>461</v>
      </c>
      <c r="I526" s="160">
        <v>0</v>
      </c>
      <c r="J526" s="15">
        <v>5535302.5</v>
      </c>
      <c r="K526" s="25" t="s">
        <v>461</v>
      </c>
    </row>
    <row r="527" spans="1:12" s="277" customFormat="1" x14ac:dyDescent="0.25">
      <c r="A527" s="8" t="s">
        <v>0</v>
      </c>
      <c r="B527" s="39" t="s">
        <v>298</v>
      </c>
      <c r="C527" s="18" t="s">
        <v>5</v>
      </c>
      <c r="D527" s="11">
        <v>92</v>
      </c>
      <c r="E527" s="12" t="s">
        <v>758</v>
      </c>
      <c r="F527" s="8" t="s">
        <v>2</v>
      </c>
      <c r="G527" s="12" t="s">
        <v>461</v>
      </c>
      <c r="H527" s="12" t="s">
        <v>461</v>
      </c>
      <c r="I527" s="160">
        <v>0</v>
      </c>
      <c r="J527" s="15">
        <v>7072586.6099999994</v>
      </c>
      <c r="K527" s="25" t="s">
        <v>461</v>
      </c>
      <c r="L527" s="285"/>
    </row>
    <row r="528" spans="1:12" s="277" customFormat="1" x14ac:dyDescent="0.25">
      <c r="A528" s="281" t="s">
        <v>0</v>
      </c>
      <c r="B528" s="253" t="s">
        <v>299</v>
      </c>
      <c r="C528" s="254" t="s">
        <v>4</v>
      </c>
      <c r="D528" s="11">
        <v>59</v>
      </c>
      <c r="E528" s="12" t="s">
        <v>758</v>
      </c>
      <c r="F528" s="12" t="s">
        <v>2</v>
      </c>
      <c r="G528" s="12" t="s">
        <v>461</v>
      </c>
      <c r="H528" s="12" t="s">
        <v>461</v>
      </c>
      <c r="I528" s="160">
        <v>0</v>
      </c>
      <c r="J528" s="15">
        <v>226522916.66</v>
      </c>
      <c r="K528" s="25" t="s">
        <v>461</v>
      </c>
      <c r="L528" s="285"/>
    </row>
    <row r="529" spans="1:12" s="277" customFormat="1" x14ac:dyDescent="0.25">
      <c r="A529" s="8" t="s">
        <v>0</v>
      </c>
      <c r="B529" s="39" t="s">
        <v>300</v>
      </c>
      <c r="C529" s="18" t="s">
        <v>5</v>
      </c>
      <c r="D529" s="11"/>
      <c r="E529" s="12" t="s">
        <v>759</v>
      </c>
      <c r="F529" s="8" t="s">
        <v>2</v>
      </c>
      <c r="G529" s="12" t="s">
        <v>461</v>
      </c>
      <c r="H529" s="12" t="s">
        <v>461</v>
      </c>
      <c r="I529" s="160">
        <v>0</v>
      </c>
      <c r="J529" s="15">
        <v>243978</v>
      </c>
      <c r="K529" s="25">
        <v>41320</v>
      </c>
      <c r="L529" s="285"/>
    </row>
    <row r="530" spans="1:12" s="277" customFormat="1" x14ac:dyDescent="0.25">
      <c r="A530" s="8" t="s">
        <v>0</v>
      </c>
      <c r="B530" s="39" t="s">
        <v>301</v>
      </c>
      <c r="C530" s="18" t="s">
        <v>4</v>
      </c>
      <c r="D530" s="11" t="s">
        <v>1260</v>
      </c>
      <c r="E530" s="12" t="s">
        <v>758</v>
      </c>
      <c r="F530" s="8" t="s">
        <v>2</v>
      </c>
      <c r="G530" s="12" t="s">
        <v>461</v>
      </c>
      <c r="H530" s="12" t="s">
        <v>461</v>
      </c>
      <c r="I530" s="160">
        <v>0</v>
      </c>
      <c r="J530" s="15">
        <v>32095000</v>
      </c>
      <c r="K530" s="25" t="s">
        <v>461</v>
      </c>
      <c r="L530" s="285"/>
    </row>
    <row r="531" spans="1:12" s="277" customFormat="1" x14ac:dyDescent="0.25">
      <c r="A531" s="281" t="s">
        <v>0</v>
      </c>
      <c r="B531" s="251" t="s">
        <v>712</v>
      </c>
      <c r="C531" s="256" t="s">
        <v>5</v>
      </c>
      <c r="D531" s="280">
        <v>66</v>
      </c>
      <c r="E531" s="278" t="s">
        <v>758</v>
      </c>
      <c r="F531" s="12" t="s">
        <v>2</v>
      </c>
      <c r="G531" s="12" t="s">
        <v>461</v>
      </c>
      <c r="H531" s="12" t="s">
        <v>461</v>
      </c>
      <c r="I531" s="160">
        <v>0</v>
      </c>
      <c r="J531" s="15">
        <v>570433.33000000007</v>
      </c>
      <c r="K531" s="258" t="s">
        <v>461</v>
      </c>
      <c r="L531" s="285"/>
    </row>
    <row r="532" spans="1:12" s="277" customFormat="1" x14ac:dyDescent="0.25">
      <c r="A532" s="8" t="s">
        <v>0</v>
      </c>
      <c r="B532" s="39" t="s">
        <v>302</v>
      </c>
      <c r="C532" s="18" t="s">
        <v>5</v>
      </c>
      <c r="D532" s="11">
        <v>65</v>
      </c>
      <c r="E532" s="12" t="s">
        <v>759</v>
      </c>
      <c r="F532" s="12" t="s">
        <v>2</v>
      </c>
      <c r="G532" s="12" t="s">
        <v>461</v>
      </c>
      <c r="H532" s="12" t="s">
        <v>461</v>
      </c>
      <c r="I532" s="160">
        <v>0</v>
      </c>
      <c r="J532" s="15">
        <v>2317674.81</v>
      </c>
      <c r="K532" s="25" t="s">
        <v>461</v>
      </c>
      <c r="L532" s="285"/>
    </row>
    <row r="533" spans="1:12" s="277" customFormat="1" x14ac:dyDescent="0.25">
      <c r="A533" s="8" t="s">
        <v>0</v>
      </c>
      <c r="B533" s="32" t="s">
        <v>576</v>
      </c>
      <c r="C533" s="18" t="s">
        <v>26</v>
      </c>
      <c r="D533" s="17" t="s">
        <v>1260</v>
      </c>
      <c r="E533" s="12" t="s">
        <v>758</v>
      </c>
      <c r="F533" s="12" t="s">
        <v>2</v>
      </c>
      <c r="G533" s="12" t="s">
        <v>461</v>
      </c>
      <c r="H533" s="12" t="s">
        <v>461</v>
      </c>
      <c r="I533" s="160">
        <v>0</v>
      </c>
      <c r="J533" s="15">
        <v>3166020.56</v>
      </c>
      <c r="K533" s="25" t="s">
        <v>461</v>
      </c>
      <c r="L533" s="285"/>
    </row>
    <row r="534" spans="1:12" s="277" customFormat="1" x14ac:dyDescent="0.25">
      <c r="A534" s="8" t="s">
        <v>0</v>
      </c>
      <c r="B534" s="39" t="s">
        <v>303</v>
      </c>
      <c r="C534" s="18" t="s">
        <v>5</v>
      </c>
      <c r="D534" s="11">
        <v>65</v>
      </c>
      <c r="E534" s="12" t="s">
        <v>758</v>
      </c>
      <c r="F534" s="12" t="s">
        <v>2</v>
      </c>
      <c r="G534" s="12" t="s">
        <v>461</v>
      </c>
      <c r="H534" s="12" t="s">
        <v>461</v>
      </c>
      <c r="I534" s="160">
        <v>0</v>
      </c>
      <c r="J534" s="15">
        <v>475815.03</v>
      </c>
      <c r="K534" s="25" t="s">
        <v>461</v>
      </c>
      <c r="L534" s="285"/>
    </row>
    <row r="535" spans="1:12" s="277" customFormat="1" x14ac:dyDescent="0.25">
      <c r="A535" s="8" t="s">
        <v>0</v>
      </c>
      <c r="B535" s="38" t="s">
        <v>616</v>
      </c>
      <c r="C535" s="45" t="s">
        <v>561</v>
      </c>
      <c r="D535" s="11">
        <v>65</v>
      </c>
      <c r="E535" s="12" t="s">
        <v>758</v>
      </c>
      <c r="F535" s="12" t="s">
        <v>2</v>
      </c>
      <c r="G535" s="12" t="s">
        <v>461</v>
      </c>
      <c r="H535" s="12" t="s">
        <v>461</v>
      </c>
      <c r="I535" s="160">
        <v>0</v>
      </c>
      <c r="J535" s="15">
        <v>424668.47</v>
      </c>
      <c r="K535" s="25" t="s">
        <v>461</v>
      </c>
      <c r="L535" s="285"/>
    </row>
    <row r="536" spans="1:12" s="277" customFormat="1" x14ac:dyDescent="0.25">
      <c r="A536" s="8" t="s">
        <v>0</v>
      </c>
      <c r="B536" s="39" t="s">
        <v>304</v>
      </c>
      <c r="C536" s="18" t="s">
        <v>5</v>
      </c>
      <c r="D536" s="11">
        <v>70</v>
      </c>
      <c r="E536" s="12" t="s">
        <v>758</v>
      </c>
      <c r="F536" s="12" t="s">
        <v>2</v>
      </c>
      <c r="G536" s="12" t="s">
        <v>461</v>
      </c>
      <c r="H536" s="12" t="s">
        <v>461</v>
      </c>
      <c r="I536" s="160">
        <v>0</v>
      </c>
      <c r="J536" s="15">
        <v>256560</v>
      </c>
      <c r="K536" s="25" t="s">
        <v>461</v>
      </c>
      <c r="L536" s="285"/>
    </row>
    <row r="537" spans="1:12" s="277" customFormat="1" x14ac:dyDescent="0.25">
      <c r="A537" s="8" t="s">
        <v>0</v>
      </c>
      <c r="B537" s="39" t="s">
        <v>305</v>
      </c>
      <c r="C537" s="18" t="s">
        <v>5</v>
      </c>
      <c r="D537" s="11"/>
      <c r="E537" s="12" t="s">
        <v>759</v>
      </c>
      <c r="F537" s="8" t="s">
        <v>2</v>
      </c>
      <c r="G537" s="12" t="s">
        <v>461</v>
      </c>
      <c r="H537" s="12" t="s">
        <v>461</v>
      </c>
      <c r="I537" s="160">
        <v>0</v>
      </c>
      <c r="J537" s="15">
        <v>2196375.61</v>
      </c>
      <c r="K537" s="25">
        <v>41320</v>
      </c>
      <c r="L537" s="285"/>
    </row>
    <row r="538" spans="1:12" s="277" customFormat="1" x14ac:dyDescent="0.25">
      <c r="A538" s="8" t="s">
        <v>0</v>
      </c>
      <c r="B538" s="39" t="s">
        <v>306</v>
      </c>
      <c r="C538" s="18" t="s">
        <v>5</v>
      </c>
      <c r="D538" s="11">
        <v>92</v>
      </c>
      <c r="E538" s="12" t="s">
        <v>759</v>
      </c>
      <c r="F538" s="8" t="s">
        <v>2</v>
      </c>
      <c r="G538" s="12" t="s">
        <v>461</v>
      </c>
      <c r="H538" s="12" t="s">
        <v>461</v>
      </c>
      <c r="I538" s="160">
        <v>0</v>
      </c>
      <c r="J538" s="15">
        <v>1574887.5</v>
      </c>
      <c r="K538" s="25" t="s">
        <v>461</v>
      </c>
      <c r="L538" s="285"/>
    </row>
    <row r="539" spans="1:12" s="277" customFormat="1" x14ac:dyDescent="0.25">
      <c r="A539" s="8" t="s">
        <v>0</v>
      </c>
      <c r="B539" s="245" t="s">
        <v>307</v>
      </c>
      <c r="C539" s="246" t="s">
        <v>4</v>
      </c>
      <c r="D539" s="17">
        <v>80</v>
      </c>
      <c r="E539" s="12" t="s">
        <v>758</v>
      </c>
      <c r="F539" s="12" t="s">
        <v>2</v>
      </c>
      <c r="G539" s="12" t="s">
        <v>461</v>
      </c>
      <c r="H539" s="12" t="s">
        <v>461</v>
      </c>
      <c r="I539" s="160">
        <v>0</v>
      </c>
      <c r="J539" s="15">
        <v>7828900</v>
      </c>
      <c r="K539" s="25" t="s">
        <v>461</v>
      </c>
      <c r="L539" s="285"/>
    </row>
    <row r="540" spans="1:12" s="277" customFormat="1" x14ac:dyDescent="0.25">
      <c r="A540" s="8" t="s">
        <v>0</v>
      </c>
      <c r="B540" s="39" t="s">
        <v>625</v>
      </c>
      <c r="C540" s="45" t="s">
        <v>561</v>
      </c>
      <c r="D540" s="11">
        <v>55</v>
      </c>
      <c r="E540" s="12" t="s">
        <v>758</v>
      </c>
      <c r="F540" s="8" t="s">
        <v>2</v>
      </c>
      <c r="G540" s="12" t="s">
        <v>461</v>
      </c>
      <c r="H540" s="12" t="s">
        <v>461</v>
      </c>
      <c r="I540" s="160">
        <v>0</v>
      </c>
      <c r="J540" s="15">
        <v>3454184.77</v>
      </c>
      <c r="K540" s="25">
        <v>41320</v>
      </c>
      <c r="L540" s="285"/>
    </row>
    <row r="541" spans="1:12" s="277" customFormat="1" x14ac:dyDescent="0.25">
      <c r="A541" s="8" t="s">
        <v>0</v>
      </c>
      <c r="B541" s="39" t="s">
        <v>308</v>
      </c>
      <c r="C541" s="18" t="s">
        <v>5</v>
      </c>
      <c r="D541" s="11"/>
      <c r="E541" s="12" t="s">
        <v>758</v>
      </c>
      <c r="F541" s="8" t="s">
        <v>2</v>
      </c>
      <c r="G541" s="12" t="s">
        <v>461</v>
      </c>
      <c r="H541" s="12" t="s">
        <v>461</v>
      </c>
      <c r="I541" s="160">
        <v>0</v>
      </c>
      <c r="J541" s="15">
        <v>750509.44</v>
      </c>
      <c r="K541" s="25">
        <v>41320</v>
      </c>
      <c r="L541" s="285"/>
    </row>
    <row r="542" spans="1:12" s="277" customFormat="1" x14ac:dyDescent="0.25">
      <c r="A542" s="8" t="s">
        <v>0</v>
      </c>
      <c r="B542" s="39" t="s">
        <v>309</v>
      </c>
      <c r="C542" s="18" t="s">
        <v>4</v>
      </c>
      <c r="D542" s="11" t="s">
        <v>1260</v>
      </c>
      <c r="E542" s="12" t="s">
        <v>758</v>
      </c>
      <c r="F542" s="8" t="s">
        <v>2</v>
      </c>
      <c r="G542" s="12" t="s">
        <v>461</v>
      </c>
      <c r="H542" s="12" t="s">
        <v>461</v>
      </c>
      <c r="I542" s="160">
        <v>0</v>
      </c>
      <c r="J542" s="15">
        <v>2012500</v>
      </c>
      <c r="K542" s="25" t="s">
        <v>461</v>
      </c>
      <c r="L542" s="285"/>
    </row>
    <row r="543" spans="1:12" s="277" customFormat="1" x14ac:dyDescent="0.25">
      <c r="A543" s="8" t="s">
        <v>0</v>
      </c>
      <c r="B543" s="39" t="s">
        <v>310</v>
      </c>
      <c r="C543" s="18" t="s">
        <v>4</v>
      </c>
      <c r="D543" s="11">
        <v>3</v>
      </c>
      <c r="E543" s="12" t="s">
        <v>758</v>
      </c>
      <c r="F543" s="12" t="s">
        <v>2</v>
      </c>
      <c r="G543" s="12" t="s">
        <v>461</v>
      </c>
      <c r="H543" s="12" t="s">
        <v>461</v>
      </c>
      <c r="I543" s="160">
        <v>0</v>
      </c>
      <c r="J543" s="15">
        <v>986944.11</v>
      </c>
      <c r="K543" s="13" t="s">
        <v>461</v>
      </c>
      <c r="L543" s="285"/>
    </row>
    <row r="544" spans="1:12" s="277" customFormat="1" x14ac:dyDescent="0.25">
      <c r="A544" s="8" t="s">
        <v>0</v>
      </c>
      <c r="B544" s="39" t="s">
        <v>311</v>
      </c>
      <c r="C544" s="18" t="s">
        <v>5</v>
      </c>
      <c r="D544" s="11" t="s">
        <v>1260</v>
      </c>
      <c r="E544" s="12" t="s">
        <v>758</v>
      </c>
      <c r="F544" s="12" t="s">
        <v>2</v>
      </c>
      <c r="G544" s="12" t="s">
        <v>461</v>
      </c>
      <c r="H544" s="12" t="s">
        <v>461</v>
      </c>
      <c r="I544" s="160">
        <v>0</v>
      </c>
      <c r="J544" s="15">
        <v>508989.33999999997</v>
      </c>
      <c r="K544" s="13" t="s">
        <v>461</v>
      </c>
      <c r="L544" s="285"/>
    </row>
    <row r="545" spans="1:12" s="277" customFormat="1" x14ac:dyDescent="0.25">
      <c r="A545" s="281" t="s">
        <v>0</v>
      </c>
      <c r="B545" s="253" t="s">
        <v>312</v>
      </c>
      <c r="C545" s="254" t="s">
        <v>4</v>
      </c>
      <c r="D545" s="280">
        <v>65</v>
      </c>
      <c r="E545" s="278" t="s">
        <v>758</v>
      </c>
      <c r="F545" s="12" t="s">
        <v>2</v>
      </c>
      <c r="G545" s="12" t="s">
        <v>461</v>
      </c>
      <c r="H545" s="12" t="s">
        <v>461</v>
      </c>
      <c r="I545" s="160">
        <v>0</v>
      </c>
      <c r="J545" s="15">
        <v>2627777.7799999998</v>
      </c>
      <c r="K545" s="258" t="s">
        <v>461</v>
      </c>
      <c r="L545" s="285"/>
    </row>
    <row r="546" spans="1:12" s="277" customFormat="1" x14ac:dyDescent="0.25">
      <c r="A546" s="8" t="s">
        <v>0</v>
      </c>
      <c r="B546" s="39" t="s">
        <v>313</v>
      </c>
      <c r="C546" s="18" t="s">
        <v>5</v>
      </c>
      <c r="D546" s="11"/>
      <c r="E546" s="12" t="s">
        <v>759</v>
      </c>
      <c r="F546" s="8" t="s">
        <v>2</v>
      </c>
      <c r="G546" s="12" t="s">
        <v>461</v>
      </c>
      <c r="H546" s="12" t="s">
        <v>461</v>
      </c>
      <c r="I546" s="160">
        <v>0</v>
      </c>
      <c r="J546" s="15">
        <v>275104.5</v>
      </c>
      <c r="K546" s="25">
        <v>41320</v>
      </c>
      <c r="L546" s="285"/>
    </row>
    <row r="547" spans="1:12" s="277" customFormat="1" x14ac:dyDescent="0.25">
      <c r="A547" s="8" t="s">
        <v>0</v>
      </c>
      <c r="B547" s="39" t="s">
        <v>314</v>
      </c>
      <c r="C547" s="18" t="s">
        <v>4</v>
      </c>
      <c r="D547" s="17"/>
      <c r="E547" s="12" t="s">
        <v>758</v>
      </c>
      <c r="F547" s="12" t="s">
        <v>2</v>
      </c>
      <c r="G547" s="12" t="s">
        <v>461</v>
      </c>
      <c r="H547" s="12" t="s">
        <v>461</v>
      </c>
      <c r="I547" s="160">
        <v>0</v>
      </c>
      <c r="J547" s="15">
        <v>824288.89</v>
      </c>
      <c r="K547" s="25" t="s">
        <v>461</v>
      </c>
      <c r="L547" s="285"/>
    </row>
    <row r="548" spans="1:12" s="277" customFormat="1" x14ac:dyDescent="0.25">
      <c r="A548" s="8" t="s">
        <v>0</v>
      </c>
      <c r="B548" s="9" t="s">
        <v>314</v>
      </c>
      <c r="C548" s="19" t="s">
        <v>815</v>
      </c>
      <c r="D548" s="17" t="s">
        <v>914</v>
      </c>
      <c r="E548" s="12" t="s">
        <v>758</v>
      </c>
      <c r="F548" s="12" t="s">
        <v>2</v>
      </c>
      <c r="G548" s="12" t="s">
        <v>461</v>
      </c>
      <c r="H548" s="12" t="s">
        <v>461</v>
      </c>
      <c r="I548" s="160">
        <v>0</v>
      </c>
      <c r="J548" s="15">
        <v>0</v>
      </c>
      <c r="K548" s="25" t="s">
        <v>461</v>
      </c>
      <c r="L548" s="285"/>
    </row>
    <row r="549" spans="1:12" s="277" customFormat="1" x14ac:dyDescent="0.25">
      <c r="A549" s="8" t="s">
        <v>0</v>
      </c>
      <c r="B549" s="39" t="s">
        <v>315</v>
      </c>
      <c r="C549" s="18" t="s">
        <v>5</v>
      </c>
      <c r="D549" s="11" t="s">
        <v>1260</v>
      </c>
      <c r="E549" s="12" t="s">
        <v>758</v>
      </c>
      <c r="F549" s="12" t="s">
        <v>2</v>
      </c>
      <c r="G549" s="12" t="s">
        <v>461</v>
      </c>
      <c r="H549" s="12" t="s">
        <v>461</v>
      </c>
      <c r="I549" s="160">
        <v>0</v>
      </c>
      <c r="J549" s="15">
        <v>28294.14</v>
      </c>
      <c r="K549" s="13" t="s">
        <v>461</v>
      </c>
      <c r="L549" s="285"/>
    </row>
    <row r="550" spans="1:12" s="277" customFormat="1" x14ac:dyDescent="0.25">
      <c r="A550" s="8" t="s">
        <v>0</v>
      </c>
      <c r="B550" s="39" t="s">
        <v>316</v>
      </c>
      <c r="C550" s="18" t="s">
        <v>4</v>
      </c>
      <c r="D550" s="11" t="s">
        <v>1260</v>
      </c>
      <c r="E550" s="12" t="s">
        <v>758</v>
      </c>
      <c r="F550" s="12" t="s">
        <v>2</v>
      </c>
      <c r="G550" s="12" t="s">
        <v>461</v>
      </c>
      <c r="H550" s="12" t="s">
        <v>461</v>
      </c>
      <c r="I550" s="160">
        <v>0</v>
      </c>
      <c r="J550" s="15">
        <v>1933333.33</v>
      </c>
      <c r="K550" s="25" t="s">
        <v>461</v>
      </c>
      <c r="L550" s="285"/>
    </row>
    <row r="551" spans="1:12" s="277" customFormat="1" x14ac:dyDescent="0.25">
      <c r="A551" s="8" t="s">
        <v>0</v>
      </c>
      <c r="B551" s="39" t="s">
        <v>317</v>
      </c>
      <c r="C551" s="18" t="s">
        <v>5</v>
      </c>
      <c r="D551" s="11"/>
      <c r="E551" s="12" t="s">
        <v>758</v>
      </c>
      <c r="F551" s="8" t="s">
        <v>2</v>
      </c>
      <c r="G551" s="12" t="s">
        <v>461</v>
      </c>
      <c r="H551" s="12" t="s">
        <v>461</v>
      </c>
      <c r="I551" s="160">
        <v>0</v>
      </c>
      <c r="J551" s="15">
        <v>1082431</v>
      </c>
      <c r="K551" s="25">
        <v>41320</v>
      </c>
      <c r="L551" s="285"/>
    </row>
    <row r="552" spans="1:12" s="277" customFormat="1" x14ac:dyDescent="0.25">
      <c r="A552" s="8" t="s">
        <v>0</v>
      </c>
      <c r="B552" s="39" t="s">
        <v>318</v>
      </c>
      <c r="C552" s="18" t="s">
        <v>5</v>
      </c>
      <c r="D552" s="17">
        <v>84</v>
      </c>
      <c r="E552" s="12" t="s">
        <v>758</v>
      </c>
      <c r="F552" s="8" t="s">
        <v>2</v>
      </c>
      <c r="G552" s="12" t="s">
        <v>461</v>
      </c>
      <c r="H552" s="12" t="s">
        <v>461</v>
      </c>
      <c r="I552" s="160">
        <v>0</v>
      </c>
      <c r="J552" s="15">
        <v>1392561.73</v>
      </c>
      <c r="K552" s="25" t="s">
        <v>461</v>
      </c>
      <c r="L552" s="285"/>
    </row>
    <row r="553" spans="1:12" s="277" customFormat="1" x14ac:dyDescent="0.25">
      <c r="A553" s="8" t="s">
        <v>0</v>
      </c>
      <c r="B553" s="39" t="s">
        <v>319</v>
      </c>
      <c r="C553" s="18" t="s">
        <v>83</v>
      </c>
      <c r="D553" s="11" t="s">
        <v>1260</v>
      </c>
      <c r="E553" s="12" t="s">
        <v>758</v>
      </c>
      <c r="F553" s="12" t="s">
        <v>2</v>
      </c>
      <c r="G553" s="12" t="s">
        <v>461</v>
      </c>
      <c r="H553" s="12" t="s">
        <v>461</v>
      </c>
      <c r="I553" s="160">
        <v>0</v>
      </c>
      <c r="J553" s="15">
        <v>759583.89</v>
      </c>
      <c r="K553" s="25" t="s">
        <v>461</v>
      </c>
      <c r="L553" s="285"/>
    </row>
    <row r="554" spans="1:12" s="277" customFormat="1" x14ac:dyDescent="0.25">
      <c r="A554" s="8" t="s">
        <v>0</v>
      </c>
      <c r="B554" s="39" t="s">
        <v>320</v>
      </c>
      <c r="C554" s="18" t="s">
        <v>106</v>
      </c>
      <c r="D554" s="11">
        <v>42</v>
      </c>
      <c r="E554" s="12" t="s">
        <v>758</v>
      </c>
      <c r="F554" s="13" t="s">
        <v>2</v>
      </c>
      <c r="G554" s="12" t="s">
        <v>461</v>
      </c>
      <c r="H554" s="12" t="s">
        <v>461</v>
      </c>
      <c r="I554" s="160">
        <v>0</v>
      </c>
      <c r="J554" s="15">
        <v>456041.66</v>
      </c>
      <c r="K554" s="25" t="s">
        <v>461</v>
      </c>
      <c r="L554" s="285"/>
    </row>
    <row r="555" spans="1:12" s="277" customFormat="1" x14ac:dyDescent="0.25">
      <c r="A555" s="8" t="s">
        <v>0</v>
      </c>
      <c r="B555" s="39" t="s">
        <v>321</v>
      </c>
      <c r="C555" s="18" t="s">
        <v>5</v>
      </c>
      <c r="D555" s="11" t="s">
        <v>1260</v>
      </c>
      <c r="E555" s="12" t="s">
        <v>758</v>
      </c>
      <c r="F555" s="8" t="s">
        <v>2</v>
      </c>
      <c r="G555" s="12" t="s">
        <v>461</v>
      </c>
      <c r="H555" s="12" t="s">
        <v>461</v>
      </c>
      <c r="I555" s="160">
        <v>0</v>
      </c>
      <c r="J555" s="15">
        <v>413348.6</v>
      </c>
      <c r="K555" s="25" t="s">
        <v>461</v>
      </c>
      <c r="L555" s="285"/>
    </row>
    <row r="556" spans="1:12" s="277" customFormat="1" x14ac:dyDescent="0.25">
      <c r="A556" s="8" t="s">
        <v>0</v>
      </c>
      <c r="B556" s="39" t="s">
        <v>322</v>
      </c>
      <c r="C556" s="18" t="s">
        <v>4</v>
      </c>
      <c r="D556" s="11"/>
      <c r="E556" s="12" t="s">
        <v>758</v>
      </c>
      <c r="F556" s="8" t="s">
        <v>2</v>
      </c>
      <c r="G556" s="12" t="s">
        <v>461</v>
      </c>
      <c r="H556" s="12" t="s">
        <v>461</v>
      </c>
      <c r="I556" s="160">
        <v>0</v>
      </c>
      <c r="J556" s="15">
        <v>262919</v>
      </c>
      <c r="K556" s="25">
        <v>41320</v>
      </c>
      <c r="L556" s="285"/>
    </row>
    <row r="557" spans="1:12" s="277" customFormat="1" x14ac:dyDescent="0.25">
      <c r="A557" s="8" t="s">
        <v>0</v>
      </c>
      <c r="B557" s="39" t="s">
        <v>323</v>
      </c>
      <c r="C557" s="18" t="s">
        <v>4</v>
      </c>
      <c r="D557" s="11">
        <v>3</v>
      </c>
      <c r="E557" s="12" t="s">
        <v>758</v>
      </c>
      <c r="F557" s="12" t="s">
        <v>2</v>
      </c>
      <c r="G557" s="12" t="s">
        <v>461</v>
      </c>
      <c r="H557" s="12" t="s">
        <v>461</v>
      </c>
      <c r="I557" s="160">
        <v>0</v>
      </c>
      <c r="J557" s="15">
        <v>743166.66</v>
      </c>
      <c r="K557" s="13" t="s">
        <v>461</v>
      </c>
      <c r="L557" s="285"/>
    </row>
    <row r="558" spans="1:12" s="277" customFormat="1" x14ac:dyDescent="0.25">
      <c r="A558" s="8" t="s">
        <v>0</v>
      </c>
      <c r="B558" s="39" t="s">
        <v>324</v>
      </c>
      <c r="C558" s="18" t="s">
        <v>5</v>
      </c>
      <c r="D558" s="11">
        <v>66</v>
      </c>
      <c r="E558" s="12" t="s">
        <v>758</v>
      </c>
      <c r="F558" s="12" t="s">
        <v>2</v>
      </c>
      <c r="G558" s="12" t="s">
        <v>461</v>
      </c>
      <c r="H558" s="12" t="s">
        <v>461</v>
      </c>
      <c r="I558" s="160">
        <v>0</v>
      </c>
      <c r="J558" s="15">
        <v>1299481</v>
      </c>
      <c r="K558" s="25" t="s">
        <v>461</v>
      </c>
      <c r="L558" s="285"/>
    </row>
    <row r="559" spans="1:12" s="277" customFormat="1" x14ac:dyDescent="0.25">
      <c r="A559" s="8" t="s">
        <v>0</v>
      </c>
      <c r="B559" s="39" t="s">
        <v>325</v>
      </c>
      <c r="C559" s="18" t="s">
        <v>5</v>
      </c>
      <c r="D559" s="11">
        <v>65</v>
      </c>
      <c r="E559" s="12" t="s">
        <v>759</v>
      </c>
      <c r="F559" s="12" t="s">
        <v>2</v>
      </c>
      <c r="G559" s="12" t="s">
        <v>461</v>
      </c>
      <c r="H559" s="12" t="s">
        <v>461</v>
      </c>
      <c r="I559" s="160">
        <v>0</v>
      </c>
      <c r="J559" s="15">
        <v>652958.5</v>
      </c>
      <c r="K559" s="25" t="s">
        <v>461</v>
      </c>
      <c r="L559" s="285"/>
    </row>
    <row r="560" spans="1:12" s="277" customFormat="1" x14ac:dyDescent="0.25">
      <c r="A560" s="8" t="s">
        <v>0</v>
      </c>
      <c r="B560" s="39" t="s">
        <v>326</v>
      </c>
      <c r="C560" s="18" t="s">
        <v>4</v>
      </c>
      <c r="D560" s="11" t="s">
        <v>1260</v>
      </c>
      <c r="E560" s="12" t="s">
        <v>758</v>
      </c>
      <c r="F560" s="12" t="s">
        <v>2</v>
      </c>
      <c r="G560" s="12" t="s">
        <v>461</v>
      </c>
      <c r="H560" s="12" t="s">
        <v>461</v>
      </c>
      <c r="I560" s="160">
        <v>0</v>
      </c>
      <c r="J560" s="15">
        <v>318055555.11000001</v>
      </c>
      <c r="K560" s="13" t="s">
        <v>461</v>
      </c>
      <c r="L560" s="285"/>
    </row>
    <row r="561" spans="1:12" s="277" customFormat="1" x14ac:dyDescent="0.25">
      <c r="A561" s="8" t="s">
        <v>0</v>
      </c>
      <c r="B561" s="39" t="s">
        <v>327</v>
      </c>
      <c r="C561" s="18" t="s">
        <v>5</v>
      </c>
      <c r="D561" s="11" t="s">
        <v>1260</v>
      </c>
      <c r="E561" s="12" t="s">
        <v>758</v>
      </c>
      <c r="F561" s="12" t="s">
        <v>2</v>
      </c>
      <c r="G561" s="12" t="s">
        <v>461</v>
      </c>
      <c r="H561" s="12" t="s">
        <v>461</v>
      </c>
      <c r="I561" s="160">
        <v>0</v>
      </c>
      <c r="J561" s="15">
        <v>1779122.22</v>
      </c>
      <c r="K561" s="25" t="s">
        <v>461</v>
      </c>
      <c r="L561" s="285"/>
    </row>
    <row r="562" spans="1:12" s="277" customFormat="1" x14ac:dyDescent="0.25">
      <c r="A562" s="8" t="s">
        <v>0</v>
      </c>
      <c r="B562" s="39" t="s">
        <v>328</v>
      </c>
      <c r="C562" s="18" t="s">
        <v>5</v>
      </c>
      <c r="D562" s="11" t="s">
        <v>1260</v>
      </c>
      <c r="E562" s="12" t="s">
        <v>758</v>
      </c>
      <c r="F562" s="8" t="s">
        <v>2</v>
      </c>
      <c r="G562" s="12" t="s">
        <v>461</v>
      </c>
      <c r="H562" s="12" t="s">
        <v>461</v>
      </c>
      <c r="I562" s="160">
        <v>0</v>
      </c>
      <c r="J562" s="15">
        <v>1276377.3800000001</v>
      </c>
      <c r="K562" s="25" t="s">
        <v>461</v>
      </c>
      <c r="L562" s="285"/>
    </row>
    <row r="563" spans="1:12" s="277" customFormat="1" x14ac:dyDescent="0.25">
      <c r="A563" s="8" t="s">
        <v>0</v>
      </c>
      <c r="B563" s="9" t="s">
        <v>687</v>
      </c>
      <c r="C563" s="19" t="s">
        <v>5</v>
      </c>
      <c r="D563" s="11"/>
      <c r="E563" s="12" t="s">
        <v>758</v>
      </c>
      <c r="F563" s="12" t="s">
        <v>2</v>
      </c>
      <c r="G563" s="12" t="s">
        <v>461</v>
      </c>
      <c r="H563" s="12" t="s">
        <v>461</v>
      </c>
      <c r="I563" s="160">
        <v>0</v>
      </c>
      <c r="J563" s="15">
        <v>564529.15</v>
      </c>
      <c r="K563" s="25">
        <v>41320</v>
      </c>
      <c r="L563" s="285"/>
    </row>
    <row r="564" spans="1:12" s="277" customFormat="1" x14ac:dyDescent="0.25">
      <c r="A564" s="8" t="s">
        <v>0</v>
      </c>
      <c r="B564" s="39" t="s">
        <v>329</v>
      </c>
      <c r="C564" s="18" t="s">
        <v>5</v>
      </c>
      <c r="D564" s="17" t="s">
        <v>1260</v>
      </c>
      <c r="E564" s="12" t="s">
        <v>758</v>
      </c>
      <c r="F564" s="12" t="s">
        <v>2</v>
      </c>
      <c r="G564" s="12" t="s">
        <v>461</v>
      </c>
      <c r="H564" s="12" t="s">
        <v>461</v>
      </c>
      <c r="I564" s="160">
        <v>0</v>
      </c>
      <c r="J564" s="15">
        <v>1097289.8999999999</v>
      </c>
      <c r="K564" s="25" t="s">
        <v>461</v>
      </c>
      <c r="L564" s="285"/>
    </row>
    <row r="565" spans="1:12" s="277" customFormat="1" x14ac:dyDescent="0.25">
      <c r="A565" s="281" t="s">
        <v>0</v>
      </c>
      <c r="B565" s="253" t="s">
        <v>330</v>
      </c>
      <c r="C565" s="254" t="s">
        <v>4</v>
      </c>
      <c r="D565" s="280">
        <v>66</v>
      </c>
      <c r="E565" s="278" t="s">
        <v>758</v>
      </c>
      <c r="F565" s="12" t="s">
        <v>2</v>
      </c>
      <c r="G565" s="12" t="s">
        <v>461</v>
      </c>
      <c r="H565" s="12" t="s">
        <v>461</v>
      </c>
      <c r="I565" s="160">
        <v>0</v>
      </c>
      <c r="J565" s="15">
        <v>4326595</v>
      </c>
      <c r="K565" s="258" t="s">
        <v>461</v>
      </c>
      <c r="L565" s="285"/>
    </row>
    <row r="566" spans="1:12" s="277" customFormat="1" x14ac:dyDescent="0.25">
      <c r="A566" s="8" t="s">
        <v>0</v>
      </c>
      <c r="B566" s="39" t="s">
        <v>331</v>
      </c>
      <c r="C566" s="18" t="s">
        <v>5</v>
      </c>
      <c r="D566" s="11">
        <v>91</v>
      </c>
      <c r="E566" s="12" t="s">
        <v>758</v>
      </c>
      <c r="F566" s="8" t="s">
        <v>2</v>
      </c>
      <c r="G566" s="12" t="s">
        <v>461</v>
      </c>
      <c r="H566" s="12" t="s">
        <v>461</v>
      </c>
      <c r="I566" s="160">
        <v>0</v>
      </c>
      <c r="J566" s="15">
        <v>356066.67</v>
      </c>
      <c r="K566" s="258" t="s">
        <v>461</v>
      </c>
      <c r="L566" s="285"/>
    </row>
    <row r="567" spans="1:12" s="277" customFormat="1" x14ac:dyDescent="0.25">
      <c r="A567" s="8" t="s">
        <v>0</v>
      </c>
      <c r="B567" s="9" t="s">
        <v>1187</v>
      </c>
      <c r="C567" s="18" t="s">
        <v>4</v>
      </c>
      <c r="D567" s="17" t="s">
        <v>1295</v>
      </c>
      <c r="E567" s="12" t="s">
        <v>758</v>
      </c>
      <c r="F567" s="13" t="s">
        <v>2</v>
      </c>
      <c r="G567" s="12" t="s">
        <v>461</v>
      </c>
      <c r="H567" s="12" t="s">
        <v>461</v>
      </c>
      <c r="I567" s="160">
        <v>0</v>
      </c>
      <c r="J567" s="15">
        <v>12060000</v>
      </c>
      <c r="K567" s="13" t="s">
        <v>461</v>
      </c>
      <c r="L567" s="285"/>
    </row>
    <row r="568" spans="1:12" s="277" customFormat="1" x14ac:dyDescent="0.25">
      <c r="A568" s="8" t="s">
        <v>0</v>
      </c>
      <c r="B568" s="39" t="s">
        <v>332</v>
      </c>
      <c r="C568" s="18" t="s">
        <v>5</v>
      </c>
      <c r="D568" s="11"/>
      <c r="E568" s="12" t="s">
        <v>758</v>
      </c>
      <c r="F568" s="8" t="s">
        <v>2</v>
      </c>
      <c r="G568" s="12" t="s">
        <v>461</v>
      </c>
      <c r="H568" s="12" t="s">
        <v>461</v>
      </c>
      <c r="I568" s="160">
        <v>0</v>
      </c>
      <c r="J568" s="15">
        <v>2307492</v>
      </c>
      <c r="K568" s="25">
        <v>41320</v>
      </c>
      <c r="L568" s="285"/>
    </row>
    <row r="569" spans="1:12" s="277" customFormat="1" x14ac:dyDescent="0.25">
      <c r="A569" s="8" t="s">
        <v>0</v>
      </c>
      <c r="B569" s="39" t="s">
        <v>333</v>
      </c>
      <c r="C569" s="18" t="s">
        <v>4</v>
      </c>
      <c r="D569" s="11" t="s">
        <v>1260</v>
      </c>
      <c r="E569" s="12" t="s">
        <v>758</v>
      </c>
      <c r="F569" s="12" t="s">
        <v>2</v>
      </c>
      <c r="G569" s="12" t="s">
        <v>461</v>
      </c>
      <c r="H569" s="12" t="s">
        <v>461</v>
      </c>
      <c r="I569" s="160">
        <v>0</v>
      </c>
      <c r="J569" s="15">
        <v>16958333.329999998</v>
      </c>
      <c r="K569" s="25" t="s">
        <v>461</v>
      </c>
      <c r="L569" s="285"/>
    </row>
    <row r="570" spans="1:12" s="285" customFormat="1" x14ac:dyDescent="0.25">
      <c r="A570" s="8" t="s">
        <v>0</v>
      </c>
      <c r="B570" s="31" t="s">
        <v>718</v>
      </c>
      <c r="C570" s="44" t="s">
        <v>560</v>
      </c>
      <c r="D570" s="26" t="s">
        <v>1260</v>
      </c>
      <c r="E570" s="8" t="s">
        <v>661</v>
      </c>
      <c r="F570" s="30" t="s">
        <v>2</v>
      </c>
      <c r="G570" s="12" t="s">
        <v>461</v>
      </c>
      <c r="H570" s="12" t="s">
        <v>461</v>
      </c>
      <c r="I570" s="160">
        <v>0</v>
      </c>
      <c r="J570" s="15">
        <v>176189.99888888886</v>
      </c>
      <c r="K570" s="25" t="s">
        <v>461</v>
      </c>
    </row>
    <row r="571" spans="1:12" s="277" customFormat="1" ht="30" x14ac:dyDescent="0.25">
      <c r="A571" s="8" t="s">
        <v>0</v>
      </c>
      <c r="B571" s="9" t="s">
        <v>1106</v>
      </c>
      <c r="C571" s="45" t="s">
        <v>561</v>
      </c>
      <c r="D571" s="11">
        <v>55</v>
      </c>
      <c r="E571" s="12" t="s">
        <v>758</v>
      </c>
      <c r="F571" s="8" t="s">
        <v>2</v>
      </c>
      <c r="G571" s="12" t="s">
        <v>461</v>
      </c>
      <c r="H571" s="12" t="s">
        <v>461</v>
      </c>
      <c r="I571" s="160">
        <v>0</v>
      </c>
      <c r="J571" s="15">
        <v>332256.18</v>
      </c>
      <c r="K571" s="25">
        <v>41320</v>
      </c>
      <c r="L571" s="285"/>
    </row>
    <row r="572" spans="1:12" s="277" customFormat="1" x14ac:dyDescent="0.25">
      <c r="A572" s="8" t="s">
        <v>0</v>
      </c>
      <c r="B572" s="39" t="s">
        <v>334</v>
      </c>
      <c r="C572" s="18" t="s">
        <v>5</v>
      </c>
      <c r="D572" s="11"/>
      <c r="E572" s="12" t="s">
        <v>758</v>
      </c>
      <c r="F572" s="8" t="s">
        <v>2</v>
      </c>
      <c r="G572" s="12" t="s">
        <v>461</v>
      </c>
      <c r="H572" s="12" t="s">
        <v>461</v>
      </c>
      <c r="I572" s="160">
        <v>0</v>
      </c>
      <c r="J572" s="15">
        <v>1311027.78</v>
      </c>
      <c r="K572" s="25">
        <v>41320</v>
      </c>
      <c r="L572" s="285"/>
    </row>
    <row r="573" spans="1:12" s="285" customFormat="1" x14ac:dyDescent="0.25">
      <c r="A573" s="8" t="s">
        <v>0</v>
      </c>
      <c r="B573" s="39" t="s">
        <v>636</v>
      </c>
      <c r="C573" s="45" t="s">
        <v>560</v>
      </c>
      <c r="D573" s="18"/>
      <c r="E573" s="8" t="s">
        <v>661</v>
      </c>
      <c r="F573" s="30" t="s">
        <v>2</v>
      </c>
      <c r="G573" s="12" t="s">
        <v>461</v>
      </c>
      <c r="H573" s="12" t="s">
        <v>461</v>
      </c>
      <c r="I573" s="160">
        <v>0</v>
      </c>
      <c r="J573" s="15">
        <v>665976.82000000007</v>
      </c>
      <c r="K573" s="25">
        <v>41320</v>
      </c>
    </row>
    <row r="574" spans="1:12" s="277" customFormat="1" x14ac:dyDescent="0.25">
      <c r="A574" s="281" t="s">
        <v>0</v>
      </c>
      <c r="B574" s="253" t="s">
        <v>335</v>
      </c>
      <c r="C574" s="254" t="s">
        <v>4</v>
      </c>
      <c r="D574" s="280">
        <v>65</v>
      </c>
      <c r="E574" s="278" t="s">
        <v>758</v>
      </c>
      <c r="F574" s="12" t="s">
        <v>2</v>
      </c>
      <c r="G574" s="12" t="s">
        <v>461</v>
      </c>
      <c r="H574" s="12" t="s">
        <v>461</v>
      </c>
      <c r="I574" s="160">
        <v>0</v>
      </c>
      <c r="J574" s="15">
        <v>1304166.67</v>
      </c>
      <c r="K574" s="258" t="s">
        <v>461</v>
      </c>
      <c r="L574" s="285"/>
    </row>
    <row r="575" spans="1:12" s="277" customFormat="1" x14ac:dyDescent="0.25">
      <c r="A575" s="8" t="s">
        <v>0</v>
      </c>
      <c r="B575" s="39" t="s">
        <v>336</v>
      </c>
      <c r="C575" s="18" t="s">
        <v>5</v>
      </c>
      <c r="D575" s="11"/>
      <c r="E575" s="12" t="s">
        <v>758</v>
      </c>
      <c r="F575" s="8" t="s">
        <v>2</v>
      </c>
      <c r="G575" s="12" t="s">
        <v>461</v>
      </c>
      <c r="H575" s="12" t="s">
        <v>461</v>
      </c>
      <c r="I575" s="160">
        <v>0</v>
      </c>
      <c r="J575" s="15">
        <v>56080871</v>
      </c>
      <c r="K575" s="25">
        <v>41320</v>
      </c>
      <c r="L575" s="285"/>
    </row>
    <row r="576" spans="1:12" s="277" customFormat="1" x14ac:dyDescent="0.25">
      <c r="A576" s="8" t="s">
        <v>0</v>
      </c>
      <c r="B576" s="39" t="s">
        <v>337</v>
      </c>
      <c r="C576" s="18" t="s">
        <v>4</v>
      </c>
      <c r="D576" s="11"/>
      <c r="E576" s="12" t="s">
        <v>758</v>
      </c>
      <c r="F576" s="8" t="s">
        <v>2</v>
      </c>
      <c r="G576" s="12" t="s">
        <v>461</v>
      </c>
      <c r="H576" s="12" t="s">
        <v>461</v>
      </c>
      <c r="I576" s="160">
        <v>0</v>
      </c>
      <c r="J576" s="15">
        <v>10278005</v>
      </c>
      <c r="K576" s="25">
        <v>41320</v>
      </c>
      <c r="L576" s="285"/>
    </row>
    <row r="577" spans="1:12" s="277" customFormat="1" x14ac:dyDescent="0.25">
      <c r="A577" s="8" t="s">
        <v>0</v>
      </c>
      <c r="B577" s="39" t="s">
        <v>338</v>
      </c>
      <c r="C577" s="18" t="s">
        <v>5</v>
      </c>
      <c r="D577" s="11">
        <v>65</v>
      </c>
      <c r="E577" s="12" t="s">
        <v>758</v>
      </c>
      <c r="F577" s="12" t="s">
        <v>2</v>
      </c>
      <c r="G577" s="12" t="s">
        <v>461</v>
      </c>
      <c r="H577" s="12" t="s">
        <v>461</v>
      </c>
      <c r="I577" s="160">
        <v>0</v>
      </c>
      <c r="J577" s="15">
        <v>2192842.66</v>
      </c>
      <c r="K577" s="25" t="s">
        <v>461</v>
      </c>
      <c r="L577" s="285"/>
    </row>
    <row r="578" spans="1:12" s="277" customFormat="1" x14ac:dyDescent="0.25">
      <c r="A578" s="8" t="s">
        <v>0</v>
      </c>
      <c r="B578" s="39" t="s">
        <v>339</v>
      </c>
      <c r="C578" s="18" t="s">
        <v>4</v>
      </c>
      <c r="D578" s="11" t="s">
        <v>1260</v>
      </c>
      <c r="E578" s="12" t="s">
        <v>758</v>
      </c>
      <c r="F578" s="12" t="s">
        <v>2</v>
      </c>
      <c r="G578" s="12" t="s">
        <v>461</v>
      </c>
      <c r="H578" s="12" t="s">
        <v>461</v>
      </c>
      <c r="I578" s="160">
        <v>0</v>
      </c>
      <c r="J578" s="15">
        <v>1494583.33</v>
      </c>
      <c r="K578" s="25" t="s">
        <v>461</v>
      </c>
      <c r="L578" s="285"/>
    </row>
    <row r="579" spans="1:12" s="277" customFormat="1" x14ac:dyDescent="0.25">
      <c r="A579" s="281" t="s">
        <v>0</v>
      </c>
      <c r="B579" s="253" t="s">
        <v>340</v>
      </c>
      <c r="C579" s="254" t="s">
        <v>4</v>
      </c>
      <c r="D579" s="280" t="s">
        <v>1260</v>
      </c>
      <c r="E579" s="278" t="s">
        <v>758</v>
      </c>
      <c r="F579" s="281" t="s">
        <v>2</v>
      </c>
      <c r="G579" s="12" t="s">
        <v>461</v>
      </c>
      <c r="H579" s="12" t="s">
        <v>461</v>
      </c>
      <c r="I579" s="160">
        <v>0</v>
      </c>
      <c r="J579" s="15">
        <v>837181.33</v>
      </c>
      <c r="K579" s="258" t="s">
        <v>461</v>
      </c>
      <c r="L579" s="285"/>
    </row>
    <row r="580" spans="1:12" s="277" customFormat="1" x14ac:dyDescent="0.25">
      <c r="A580" s="8" t="s">
        <v>0</v>
      </c>
      <c r="B580" s="32" t="s">
        <v>587</v>
      </c>
      <c r="C580" s="18" t="s">
        <v>561</v>
      </c>
      <c r="D580" s="11" t="s">
        <v>1260</v>
      </c>
      <c r="E580" s="12" t="s">
        <v>759</v>
      </c>
      <c r="F580" s="8" t="s">
        <v>2</v>
      </c>
      <c r="G580" s="12" t="s">
        <v>461</v>
      </c>
      <c r="H580" s="12" t="s">
        <v>461</v>
      </c>
      <c r="I580" s="160">
        <v>0</v>
      </c>
      <c r="J580" s="15">
        <v>349782.33</v>
      </c>
      <c r="K580" s="25" t="s">
        <v>461</v>
      </c>
      <c r="L580" s="285"/>
    </row>
    <row r="581" spans="1:12" s="277" customFormat="1" x14ac:dyDescent="0.25">
      <c r="A581" s="8" t="s">
        <v>0</v>
      </c>
      <c r="B581" s="39" t="s">
        <v>341</v>
      </c>
      <c r="C581" s="18" t="s">
        <v>4</v>
      </c>
      <c r="D581" s="11"/>
      <c r="E581" s="12" t="s">
        <v>758</v>
      </c>
      <c r="F581" s="8" t="s">
        <v>2</v>
      </c>
      <c r="G581" s="12" t="s">
        <v>461</v>
      </c>
      <c r="H581" s="12" t="s">
        <v>461</v>
      </c>
      <c r="I581" s="160">
        <v>0</v>
      </c>
      <c r="J581" s="15">
        <v>418322.5</v>
      </c>
      <c r="K581" s="25">
        <v>41320</v>
      </c>
      <c r="L581" s="285"/>
    </row>
    <row r="582" spans="1:12" s="277" customFormat="1" x14ac:dyDescent="0.25">
      <c r="A582" s="8" t="s">
        <v>0</v>
      </c>
      <c r="B582" s="39" t="s">
        <v>342</v>
      </c>
      <c r="C582" s="18" t="s">
        <v>4</v>
      </c>
      <c r="D582" s="11" t="s">
        <v>1260</v>
      </c>
      <c r="E582" s="12" t="s">
        <v>758</v>
      </c>
      <c r="F582" s="12" t="s">
        <v>2</v>
      </c>
      <c r="G582" s="12" t="s">
        <v>461</v>
      </c>
      <c r="H582" s="12" t="s">
        <v>461</v>
      </c>
      <c r="I582" s="160">
        <v>0</v>
      </c>
      <c r="J582" s="15">
        <v>46623333.349999994</v>
      </c>
      <c r="K582" s="13" t="s">
        <v>461</v>
      </c>
      <c r="L582" s="285"/>
    </row>
    <row r="583" spans="1:12" s="277" customFormat="1" x14ac:dyDescent="0.25">
      <c r="A583" s="8" t="s">
        <v>0</v>
      </c>
      <c r="B583" s="39" t="s">
        <v>343</v>
      </c>
      <c r="C583" s="18" t="s">
        <v>5</v>
      </c>
      <c r="D583" s="11">
        <v>65</v>
      </c>
      <c r="E583" s="12" t="s">
        <v>758</v>
      </c>
      <c r="F583" s="12" t="s">
        <v>2</v>
      </c>
      <c r="G583" s="12" t="s">
        <v>461</v>
      </c>
      <c r="H583" s="12" t="s">
        <v>461</v>
      </c>
      <c r="I583" s="160">
        <v>0</v>
      </c>
      <c r="J583" s="15">
        <v>1430624.67</v>
      </c>
      <c r="K583" s="25" t="s">
        <v>461</v>
      </c>
      <c r="L583" s="285"/>
    </row>
    <row r="584" spans="1:12" s="277" customFormat="1" x14ac:dyDescent="0.25">
      <c r="A584" s="8" t="s">
        <v>0</v>
      </c>
      <c r="B584" s="39" t="s">
        <v>344</v>
      </c>
      <c r="C584" s="18" t="s">
        <v>5</v>
      </c>
      <c r="D584" s="11"/>
      <c r="E584" s="12" t="s">
        <v>758</v>
      </c>
      <c r="F584" s="8" t="s">
        <v>2</v>
      </c>
      <c r="G584" s="12" t="s">
        <v>461</v>
      </c>
      <c r="H584" s="12" t="s">
        <v>461</v>
      </c>
      <c r="I584" s="160">
        <v>0</v>
      </c>
      <c r="J584" s="15">
        <v>575429.5</v>
      </c>
      <c r="K584" s="25">
        <v>41320</v>
      </c>
      <c r="L584" s="285"/>
    </row>
    <row r="585" spans="1:12" s="277" customFormat="1" x14ac:dyDescent="0.25">
      <c r="A585" s="8" t="s">
        <v>0</v>
      </c>
      <c r="B585" s="39" t="s">
        <v>345</v>
      </c>
      <c r="C585" s="18" t="s">
        <v>5</v>
      </c>
      <c r="D585" s="11" t="s">
        <v>1367</v>
      </c>
      <c r="E585" s="12" t="s">
        <v>759</v>
      </c>
      <c r="F585" s="8" t="s">
        <v>2</v>
      </c>
      <c r="G585" s="12" t="s">
        <v>461</v>
      </c>
      <c r="H585" s="13">
        <v>41283</v>
      </c>
      <c r="I585" s="160">
        <v>16290</v>
      </c>
      <c r="J585" s="15">
        <v>288393</v>
      </c>
      <c r="K585" s="25" t="s">
        <v>461</v>
      </c>
      <c r="L585" s="285"/>
    </row>
    <row r="586" spans="1:12" s="277" customFormat="1" x14ac:dyDescent="0.25">
      <c r="A586" s="8" t="s">
        <v>0</v>
      </c>
      <c r="B586" s="39" t="s">
        <v>346</v>
      </c>
      <c r="C586" s="18" t="s">
        <v>4</v>
      </c>
      <c r="D586" s="11">
        <v>92</v>
      </c>
      <c r="E586" s="12" t="s">
        <v>758</v>
      </c>
      <c r="F586" s="8" t="s">
        <v>2</v>
      </c>
      <c r="G586" s="12" t="s">
        <v>461</v>
      </c>
      <c r="H586" s="12" t="s">
        <v>461</v>
      </c>
      <c r="I586" s="160">
        <v>0</v>
      </c>
      <c r="J586" s="15">
        <v>1444854</v>
      </c>
      <c r="K586" s="25" t="s">
        <v>461</v>
      </c>
      <c r="L586" s="285"/>
    </row>
    <row r="587" spans="1:12" s="277" customFormat="1" x14ac:dyDescent="0.25">
      <c r="A587" s="8" t="s">
        <v>0</v>
      </c>
      <c r="B587" s="39" t="s">
        <v>347</v>
      </c>
      <c r="C587" s="18" t="s">
        <v>4</v>
      </c>
      <c r="D587" s="11">
        <v>66</v>
      </c>
      <c r="E587" s="12" t="s">
        <v>758</v>
      </c>
      <c r="F587" s="12" t="s">
        <v>2</v>
      </c>
      <c r="G587" s="12" t="s">
        <v>461</v>
      </c>
      <c r="H587" s="12" t="s">
        <v>461</v>
      </c>
      <c r="I587" s="160">
        <v>0</v>
      </c>
      <c r="J587" s="15">
        <v>1811250</v>
      </c>
      <c r="K587" s="25" t="s">
        <v>461</v>
      </c>
      <c r="L587" s="285"/>
    </row>
    <row r="588" spans="1:12" s="277" customFormat="1" x14ac:dyDescent="0.25">
      <c r="A588" s="8" t="s">
        <v>0</v>
      </c>
      <c r="B588" s="39" t="s">
        <v>348</v>
      </c>
      <c r="C588" s="18" t="s">
        <v>4</v>
      </c>
      <c r="D588" s="11">
        <v>3</v>
      </c>
      <c r="E588" s="12" t="s">
        <v>758</v>
      </c>
      <c r="F588" s="12" t="s">
        <v>2</v>
      </c>
      <c r="G588" s="12" t="s">
        <v>461</v>
      </c>
      <c r="H588" s="12" t="s">
        <v>461</v>
      </c>
      <c r="I588" s="160">
        <v>0</v>
      </c>
      <c r="J588" s="15">
        <v>1828121.6099999999</v>
      </c>
      <c r="K588" s="13" t="s">
        <v>461</v>
      </c>
      <c r="L588" s="285"/>
    </row>
    <row r="589" spans="1:12" s="277" customFormat="1" x14ac:dyDescent="0.25">
      <c r="A589" s="8" t="s">
        <v>0</v>
      </c>
      <c r="B589" s="39" t="s">
        <v>349</v>
      </c>
      <c r="C589" s="18" t="s">
        <v>5</v>
      </c>
      <c r="D589" s="11"/>
      <c r="E589" s="12" t="s">
        <v>759</v>
      </c>
      <c r="F589" s="8" t="s">
        <v>2</v>
      </c>
      <c r="G589" s="12" t="s">
        <v>461</v>
      </c>
      <c r="H589" s="12" t="s">
        <v>461</v>
      </c>
      <c r="I589" s="160">
        <v>0</v>
      </c>
      <c r="J589" s="15">
        <v>373143.33</v>
      </c>
      <c r="K589" s="25">
        <v>41320</v>
      </c>
      <c r="L589" s="285"/>
    </row>
    <row r="590" spans="1:12" s="277" customFormat="1" x14ac:dyDescent="0.25">
      <c r="A590" s="8" t="s">
        <v>0</v>
      </c>
      <c r="B590" s="39" t="s">
        <v>350</v>
      </c>
      <c r="C590" s="18" t="s">
        <v>4</v>
      </c>
      <c r="D590" s="11" t="s">
        <v>1260</v>
      </c>
      <c r="E590" s="12" t="s">
        <v>758</v>
      </c>
      <c r="F590" s="12" t="s">
        <v>2</v>
      </c>
      <c r="G590" s="12" t="s">
        <v>461</v>
      </c>
      <c r="H590" s="12" t="s">
        <v>461</v>
      </c>
      <c r="I590" s="160">
        <v>0</v>
      </c>
      <c r="J590" s="15">
        <v>213888.89</v>
      </c>
      <c r="K590" s="13" t="s">
        <v>461</v>
      </c>
      <c r="L590" s="285"/>
    </row>
    <row r="591" spans="1:12" s="277" customFormat="1" x14ac:dyDescent="0.25">
      <c r="A591" s="8" t="s">
        <v>0</v>
      </c>
      <c r="B591" s="39" t="s">
        <v>351</v>
      </c>
      <c r="C591" s="18" t="s">
        <v>4</v>
      </c>
      <c r="D591" s="11" t="s">
        <v>1260</v>
      </c>
      <c r="E591" s="12" t="s">
        <v>758</v>
      </c>
      <c r="F591" s="12" t="s">
        <v>2</v>
      </c>
      <c r="G591" s="12" t="s">
        <v>461</v>
      </c>
      <c r="H591" s="12" t="s">
        <v>461</v>
      </c>
      <c r="I591" s="160">
        <v>0</v>
      </c>
      <c r="J591" s="15">
        <v>1513888.8900000001</v>
      </c>
      <c r="K591" s="13" t="s">
        <v>461</v>
      </c>
      <c r="L591" s="285"/>
    </row>
    <row r="592" spans="1:12" s="277" customFormat="1" x14ac:dyDescent="0.25">
      <c r="A592" s="8" t="s">
        <v>0</v>
      </c>
      <c r="B592" s="39" t="s">
        <v>352</v>
      </c>
      <c r="C592" s="18" t="s">
        <v>4</v>
      </c>
      <c r="D592" s="11"/>
      <c r="E592" s="12" t="s">
        <v>758</v>
      </c>
      <c r="F592" s="8" t="s">
        <v>2</v>
      </c>
      <c r="G592" s="12" t="s">
        <v>461</v>
      </c>
      <c r="H592" s="12" t="s">
        <v>461</v>
      </c>
      <c r="I592" s="160">
        <v>0</v>
      </c>
      <c r="J592" s="15">
        <v>5769027.7800000003</v>
      </c>
      <c r="K592" s="25">
        <v>41320</v>
      </c>
      <c r="L592" s="285"/>
    </row>
    <row r="593" spans="1:12" s="277" customFormat="1" x14ac:dyDescent="0.25">
      <c r="A593" s="8" t="s">
        <v>0</v>
      </c>
      <c r="B593" s="39" t="s">
        <v>353</v>
      </c>
      <c r="C593" s="18" t="s">
        <v>5</v>
      </c>
      <c r="D593" s="11"/>
      <c r="E593" s="12" t="s">
        <v>758</v>
      </c>
      <c r="F593" s="8" t="s">
        <v>2</v>
      </c>
      <c r="G593" s="12" t="s">
        <v>461</v>
      </c>
      <c r="H593" s="12" t="s">
        <v>461</v>
      </c>
      <c r="I593" s="160">
        <v>0</v>
      </c>
      <c r="J593" s="15">
        <v>50310.5</v>
      </c>
      <c r="K593" s="25">
        <v>41320</v>
      </c>
      <c r="L593" s="285"/>
    </row>
    <row r="594" spans="1:12" s="277" customFormat="1" x14ac:dyDescent="0.25">
      <c r="A594" s="8" t="s">
        <v>0</v>
      </c>
      <c r="B594" s="32" t="s">
        <v>577</v>
      </c>
      <c r="C594" s="18" t="s">
        <v>561</v>
      </c>
      <c r="D594" s="17" t="s">
        <v>915</v>
      </c>
      <c r="E594" s="12" t="s">
        <v>759</v>
      </c>
      <c r="F594" s="12" t="s">
        <v>2</v>
      </c>
      <c r="G594" s="12" t="s">
        <v>461</v>
      </c>
      <c r="H594" s="12" t="s">
        <v>461</v>
      </c>
      <c r="I594" s="160">
        <v>0</v>
      </c>
      <c r="J594" s="15">
        <v>0</v>
      </c>
      <c r="K594" s="25" t="s">
        <v>461</v>
      </c>
      <c r="L594" s="285"/>
    </row>
    <row r="595" spans="1:12" s="277" customFormat="1" x14ac:dyDescent="0.25">
      <c r="A595" s="8" t="s">
        <v>0</v>
      </c>
      <c r="B595" s="39" t="s">
        <v>354</v>
      </c>
      <c r="C595" s="18" t="s">
        <v>83</v>
      </c>
      <c r="D595" s="11"/>
      <c r="E595" s="12" t="s">
        <v>759</v>
      </c>
      <c r="F595" s="8" t="s">
        <v>2</v>
      </c>
      <c r="G595" s="12" t="s">
        <v>461</v>
      </c>
      <c r="H595" s="12" t="s">
        <v>461</v>
      </c>
      <c r="I595" s="160">
        <v>0</v>
      </c>
      <c r="J595" s="15">
        <v>93823.33</v>
      </c>
      <c r="K595" s="25">
        <v>41320</v>
      </c>
      <c r="L595" s="285"/>
    </row>
    <row r="596" spans="1:12" s="285" customFormat="1" x14ac:dyDescent="0.25">
      <c r="A596" s="8" t="s">
        <v>0</v>
      </c>
      <c r="B596" s="39" t="s">
        <v>628</v>
      </c>
      <c r="C596" s="45" t="s">
        <v>560</v>
      </c>
      <c r="D596" s="18"/>
      <c r="E596" s="8" t="s">
        <v>661</v>
      </c>
      <c r="F596" s="30" t="s">
        <v>2</v>
      </c>
      <c r="G596" s="12" t="s">
        <v>461</v>
      </c>
      <c r="H596" s="12" t="s">
        <v>461</v>
      </c>
      <c r="I596" s="160">
        <v>0</v>
      </c>
      <c r="J596" s="15">
        <v>3782990.59</v>
      </c>
      <c r="K596" s="25">
        <v>41320</v>
      </c>
    </row>
    <row r="597" spans="1:12" s="277" customFormat="1" x14ac:dyDescent="0.25">
      <c r="A597" s="8" t="s">
        <v>0</v>
      </c>
      <c r="B597" s="39" t="s">
        <v>355</v>
      </c>
      <c r="C597" s="18" t="s">
        <v>5</v>
      </c>
      <c r="D597" s="11"/>
      <c r="E597" s="12" t="s">
        <v>758</v>
      </c>
      <c r="F597" s="8" t="s">
        <v>2</v>
      </c>
      <c r="G597" s="12" t="s">
        <v>461</v>
      </c>
      <c r="H597" s="12" t="s">
        <v>461</v>
      </c>
      <c r="I597" s="160">
        <v>0</v>
      </c>
      <c r="J597" s="15">
        <v>623740</v>
      </c>
      <c r="K597" s="25">
        <v>41320</v>
      </c>
      <c r="L597" s="285"/>
    </row>
    <row r="598" spans="1:12" s="285" customFormat="1" x14ac:dyDescent="0.25">
      <c r="A598" s="8" t="s">
        <v>0</v>
      </c>
      <c r="B598" s="21" t="s">
        <v>602</v>
      </c>
      <c r="C598" s="44" t="s">
        <v>560</v>
      </c>
      <c r="D598" s="26" t="s">
        <v>1260</v>
      </c>
      <c r="E598" s="8" t="s">
        <v>661</v>
      </c>
      <c r="F598" s="12" t="s">
        <v>2</v>
      </c>
      <c r="G598" s="12" t="s">
        <v>461</v>
      </c>
      <c r="H598" s="12" t="s">
        <v>461</v>
      </c>
      <c r="I598" s="160">
        <v>0</v>
      </c>
      <c r="J598" s="15">
        <v>1257314.5299999998</v>
      </c>
      <c r="K598" s="25" t="s">
        <v>461</v>
      </c>
    </row>
    <row r="599" spans="1:12" s="277" customFormat="1" x14ac:dyDescent="0.25">
      <c r="A599" s="8" t="s">
        <v>0</v>
      </c>
      <c r="B599" s="39" t="s">
        <v>356</v>
      </c>
      <c r="C599" s="19" t="s">
        <v>815</v>
      </c>
      <c r="D599" s="11">
        <v>41</v>
      </c>
      <c r="E599" s="12" t="s">
        <v>758</v>
      </c>
      <c r="F599" s="12" t="s">
        <v>2</v>
      </c>
      <c r="G599" s="12" t="s">
        <v>461</v>
      </c>
      <c r="H599" s="12" t="s">
        <v>461</v>
      </c>
      <c r="I599" s="160">
        <v>0</v>
      </c>
      <c r="J599" s="15">
        <v>2107396.67</v>
      </c>
      <c r="K599" s="25" t="s">
        <v>461</v>
      </c>
      <c r="L599" s="285"/>
    </row>
    <row r="600" spans="1:12" s="277" customFormat="1" x14ac:dyDescent="0.25">
      <c r="A600" s="8" t="s">
        <v>0</v>
      </c>
      <c r="B600" s="39" t="s">
        <v>356</v>
      </c>
      <c r="C600" s="19" t="s">
        <v>665</v>
      </c>
      <c r="D600" s="11">
        <v>41</v>
      </c>
      <c r="E600" s="12" t="s">
        <v>461</v>
      </c>
      <c r="F600" s="12" t="s">
        <v>461</v>
      </c>
      <c r="G600" s="12" t="s">
        <v>461</v>
      </c>
      <c r="H600" s="12" t="s">
        <v>461</v>
      </c>
      <c r="I600" s="160">
        <v>0</v>
      </c>
      <c r="J600" s="15">
        <v>0</v>
      </c>
      <c r="K600" s="25" t="s">
        <v>461</v>
      </c>
      <c r="L600" s="285"/>
    </row>
    <row r="601" spans="1:12" s="277" customFormat="1" x14ac:dyDescent="0.25">
      <c r="A601" s="8" t="s">
        <v>0</v>
      </c>
      <c r="B601" s="39" t="s">
        <v>357</v>
      </c>
      <c r="C601" s="18" t="s">
        <v>5</v>
      </c>
      <c r="D601" s="11"/>
      <c r="E601" s="12" t="s">
        <v>758</v>
      </c>
      <c r="F601" s="8" t="s">
        <v>2</v>
      </c>
      <c r="G601" s="12" t="s">
        <v>461</v>
      </c>
      <c r="H601" s="12" t="s">
        <v>461</v>
      </c>
      <c r="I601" s="160">
        <v>0</v>
      </c>
      <c r="J601" s="15">
        <v>358065</v>
      </c>
      <c r="K601" s="25">
        <v>41320</v>
      </c>
      <c r="L601" s="285"/>
    </row>
    <row r="602" spans="1:12" s="277" customFormat="1" x14ac:dyDescent="0.25">
      <c r="A602" s="8" t="s">
        <v>0</v>
      </c>
      <c r="B602" s="39" t="s">
        <v>358</v>
      </c>
      <c r="C602" s="18" t="s">
        <v>5</v>
      </c>
      <c r="D602" s="11">
        <v>66</v>
      </c>
      <c r="E602" s="12" t="s">
        <v>758</v>
      </c>
      <c r="F602" s="12" t="s">
        <v>2</v>
      </c>
      <c r="G602" s="12" t="s">
        <v>461</v>
      </c>
      <c r="H602" s="12" t="s">
        <v>461</v>
      </c>
      <c r="I602" s="160">
        <v>0</v>
      </c>
      <c r="J602" s="15">
        <v>1641963.8900000001</v>
      </c>
      <c r="K602" s="25" t="s">
        <v>461</v>
      </c>
      <c r="L602" s="285"/>
    </row>
    <row r="603" spans="1:12" s="277" customFormat="1" x14ac:dyDescent="0.25">
      <c r="A603" s="8" t="s">
        <v>0</v>
      </c>
      <c r="B603" s="39" t="s">
        <v>359</v>
      </c>
      <c r="C603" s="19" t="s">
        <v>461</v>
      </c>
      <c r="D603" s="17" t="s">
        <v>736</v>
      </c>
      <c r="E603" s="12" t="s">
        <v>758</v>
      </c>
      <c r="F603" s="12" t="s">
        <v>2</v>
      </c>
      <c r="G603" s="12" t="s">
        <v>461</v>
      </c>
      <c r="H603" s="12" t="s">
        <v>461</v>
      </c>
      <c r="I603" s="160">
        <v>0</v>
      </c>
      <c r="J603" s="15">
        <v>18087.939999999999</v>
      </c>
      <c r="K603" s="13" t="s">
        <v>461</v>
      </c>
      <c r="L603" s="285"/>
    </row>
    <row r="604" spans="1:12" s="277" customFormat="1" x14ac:dyDescent="0.25">
      <c r="A604" s="8" t="s">
        <v>0</v>
      </c>
      <c r="B604" s="39" t="s">
        <v>360</v>
      </c>
      <c r="C604" s="18" t="s">
        <v>5</v>
      </c>
      <c r="D604" s="11"/>
      <c r="E604" s="12" t="s">
        <v>759</v>
      </c>
      <c r="F604" s="12" t="s">
        <v>2</v>
      </c>
      <c r="G604" s="12" t="s">
        <v>461</v>
      </c>
      <c r="H604" s="12" t="s">
        <v>461</v>
      </c>
      <c r="I604" s="160">
        <v>0</v>
      </c>
      <c r="J604" s="15">
        <v>387222.5</v>
      </c>
      <c r="K604" s="25">
        <v>41320</v>
      </c>
      <c r="L604" s="285"/>
    </row>
    <row r="605" spans="1:12" s="277" customFormat="1" x14ac:dyDescent="0.25">
      <c r="A605" s="8" t="s">
        <v>0</v>
      </c>
      <c r="B605" s="39" t="s">
        <v>361</v>
      </c>
      <c r="C605" s="18" t="s">
        <v>4</v>
      </c>
      <c r="D605" s="11"/>
      <c r="E605" s="12" t="s">
        <v>758</v>
      </c>
      <c r="F605" s="8" t="s">
        <v>2</v>
      </c>
      <c r="G605" s="12" t="s">
        <v>461</v>
      </c>
      <c r="H605" s="12" t="s">
        <v>461</v>
      </c>
      <c r="I605" s="160">
        <v>0</v>
      </c>
      <c r="J605" s="15">
        <v>463125</v>
      </c>
      <c r="K605" s="25">
        <v>41320</v>
      </c>
      <c r="L605" s="285"/>
    </row>
    <row r="606" spans="1:12" s="277" customFormat="1" x14ac:dyDescent="0.25">
      <c r="A606" s="8" t="s">
        <v>0</v>
      </c>
      <c r="B606" s="39" t="s">
        <v>362</v>
      </c>
      <c r="C606" s="18" t="s">
        <v>5</v>
      </c>
      <c r="D606" s="11">
        <v>92</v>
      </c>
      <c r="E606" s="12" t="s">
        <v>758</v>
      </c>
      <c r="F606" s="8" t="s">
        <v>2</v>
      </c>
      <c r="G606" s="12" t="s">
        <v>461</v>
      </c>
      <c r="H606" s="12" t="s">
        <v>461</v>
      </c>
      <c r="I606" s="160">
        <v>0</v>
      </c>
      <c r="J606" s="15">
        <v>4351643</v>
      </c>
      <c r="K606" s="25" t="s">
        <v>461</v>
      </c>
      <c r="L606" s="285"/>
    </row>
    <row r="607" spans="1:12" s="277" customFormat="1" x14ac:dyDescent="0.25">
      <c r="A607" s="8" t="s">
        <v>0</v>
      </c>
      <c r="B607" s="39" t="s">
        <v>363</v>
      </c>
      <c r="C607" s="18" t="s">
        <v>4</v>
      </c>
      <c r="D607" s="17" t="s">
        <v>1260</v>
      </c>
      <c r="E607" s="12" t="s">
        <v>758</v>
      </c>
      <c r="F607" s="12" t="s">
        <v>2</v>
      </c>
      <c r="G607" s="12" t="s">
        <v>461</v>
      </c>
      <c r="H607" s="12" t="s">
        <v>461</v>
      </c>
      <c r="I607" s="160">
        <v>0</v>
      </c>
      <c r="J607" s="15">
        <v>16694444.439999999</v>
      </c>
      <c r="K607" s="25" t="s">
        <v>461</v>
      </c>
      <c r="L607" s="285"/>
    </row>
    <row r="608" spans="1:12" s="277" customFormat="1" x14ac:dyDescent="0.25">
      <c r="A608" s="281" t="s">
        <v>0</v>
      </c>
      <c r="B608" s="253" t="s">
        <v>364</v>
      </c>
      <c r="C608" s="246" t="s">
        <v>4</v>
      </c>
      <c r="D608" s="280">
        <v>92</v>
      </c>
      <c r="E608" s="278" t="s">
        <v>758</v>
      </c>
      <c r="F608" s="281" t="s">
        <v>2</v>
      </c>
      <c r="G608" s="12" t="s">
        <v>461</v>
      </c>
      <c r="H608" s="12" t="s">
        <v>461</v>
      </c>
      <c r="I608" s="160">
        <v>0</v>
      </c>
      <c r="J608" s="15">
        <v>3119531.72</v>
      </c>
      <c r="K608" s="258" t="s">
        <v>461</v>
      </c>
      <c r="L608" s="285"/>
    </row>
    <row r="609" spans="1:12" s="277" customFormat="1" x14ac:dyDescent="0.25">
      <c r="A609" s="8" t="s">
        <v>0</v>
      </c>
      <c r="B609" s="39" t="s">
        <v>365</v>
      </c>
      <c r="C609" s="18" t="s">
        <v>4</v>
      </c>
      <c r="D609" s="11">
        <v>76</v>
      </c>
      <c r="E609" s="12" t="s">
        <v>758</v>
      </c>
      <c r="F609" s="8" t="s">
        <v>2</v>
      </c>
      <c r="G609" s="12" t="s">
        <v>461</v>
      </c>
      <c r="H609" s="12" t="s">
        <v>461</v>
      </c>
      <c r="I609" s="160">
        <v>0</v>
      </c>
      <c r="J609" s="15">
        <v>4808413.8899999997</v>
      </c>
      <c r="K609" s="25" t="s">
        <v>461</v>
      </c>
      <c r="L609" s="285"/>
    </row>
    <row r="610" spans="1:12" s="277" customFormat="1" x14ac:dyDescent="0.25">
      <c r="A610" s="8" t="s">
        <v>0</v>
      </c>
      <c r="B610" s="9" t="s">
        <v>1188</v>
      </c>
      <c r="C610" s="18" t="s">
        <v>5</v>
      </c>
      <c r="D610" s="17" t="s">
        <v>1190</v>
      </c>
      <c r="E610" s="12" t="s">
        <v>759</v>
      </c>
      <c r="F610" s="12" t="s">
        <v>2</v>
      </c>
      <c r="G610" s="12" t="s">
        <v>461</v>
      </c>
      <c r="H610" s="12" t="s">
        <v>461</v>
      </c>
      <c r="I610" s="160">
        <v>0</v>
      </c>
      <c r="J610" s="15">
        <v>553312.67000000004</v>
      </c>
      <c r="K610" s="25" t="s">
        <v>461</v>
      </c>
      <c r="L610" s="285"/>
    </row>
    <row r="611" spans="1:12" s="277" customFormat="1" x14ac:dyDescent="0.25">
      <c r="A611" s="8" t="s">
        <v>0</v>
      </c>
      <c r="B611" s="39" t="s">
        <v>366</v>
      </c>
      <c r="C611" s="18" t="s">
        <v>5</v>
      </c>
      <c r="D611" s="11"/>
      <c r="E611" s="12" t="s">
        <v>758</v>
      </c>
      <c r="F611" s="8" t="s">
        <v>2</v>
      </c>
      <c r="G611" s="12" t="s">
        <v>461</v>
      </c>
      <c r="H611" s="12" t="s">
        <v>461</v>
      </c>
      <c r="I611" s="160">
        <v>0</v>
      </c>
      <c r="J611" s="15">
        <v>377866.67000000004</v>
      </c>
      <c r="K611" s="25">
        <v>41320</v>
      </c>
      <c r="L611" s="285"/>
    </row>
    <row r="612" spans="1:12" s="277" customFormat="1" x14ac:dyDescent="0.25">
      <c r="A612" s="8" t="s">
        <v>0</v>
      </c>
      <c r="B612" s="9" t="s">
        <v>680</v>
      </c>
      <c r="C612" s="19" t="s">
        <v>4</v>
      </c>
      <c r="D612" s="11">
        <v>65</v>
      </c>
      <c r="E612" s="12" t="s">
        <v>758</v>
      </c>
      <c r="F612" s="12" t="s">
        <v>2</v>
      </c>
      <c r="G612" s="12" t="s">
        <v>461</v>
      </c>
      <c r="H612" s="12" t="s">
        <v>461</v>
      </c>
      <c r="I612" s="160">
        <v>0</v>
      </c>
      <c r="J612" s="15">
        <v>667695.84</v>
      </c>
      <c r="K612" s="25" t="s">
        <v>461</v>
      </c>
      <c r="L612" s="285"/>
    </row>
    <row r="613" spans="1:12" s="277" customFormat="1" x14ac:dyDescent="0.25">
      <c r="A613" s="8" t="s">
        <v>0</v>
      </c>
      <c r="B613" s="39" t="s">
        <v>367</v>
      </c>
      <c r="C613" s="18" t="s">
        <v>5</v>
      </c>
      <c r="D613" s="11"/>
      <c r="E613" s="12" t="s">
        <v>758</v>
      </c>
      <c r="F613" s="8" t="s">
        <v>2</v>
      </c>
      <c r="G613" s="12" t="s">
        <v>461</v>
      </c>
      <c r="H613" s="12" t="s">
        <v>461</v>
      </c>
      <c r="I613" s="160">
        <v>0</v>
      </c>
      <c r="J613" s="15">
        <v>77851.5</v>
      </c>
      <c r="K613" s="25">
        <v>41320</v>
      </c>
      <c r="L613" s="285"/>
    </row>
    <row r="614" spans="1:12" s="277" customFormat="1" x14ac:dyDescent="0.25">
      <c r="A614" s="8" t="s">
        <v>0</v>
      </c>
      <c r="B614" s="39" t="s">
        <v>368</v>
      </c>
      <c r="C614" s="18" t="s">
        <v>5</v>
      </c>
      <c r="D614" s="11"/>
      <c r="E614" s="12" t="s">
        <v>758</v>
      </c>
      <c r="F614" s="8" t="s">
        <v>2</v>
      </c>
      <c r="G614" s="12" t="s">
        <v>461</v>
      </c>
      <c r="H614" s="12" t="s">
        <v>461</v>
      </c>
      <c r="I614" s="160">
        <v>0</v>
      </c>
      <c r="J614" s="15">
        <v>2704135.7800000003</v>
      </c>
      <c r="K614" s="25">
        <v>41320</v>
      </c>
      <c r="L614" s="285"/>
    </row>
    <row r="615" spans="1:12" s="277" customFormat="1" x14ac:dyDescent="0.25">
      <c r="A615" s="8" t="s">
        <v>0</v>
      </c>
      <c r="B615" s="39" t="s">
        <v>369</v>
      </c>
      <c r="C615" s="18" t="s">
        <v>5</v>
      </c>
      <c r="D615" s="17">
        <v>18</v>
      </c>
      <c r="E615" s="12" t="s">
        <v>758</v>
      </c>
      <c r="F615" s="8" t="s">
        <v>2</v>
      </c>
      <c r="G615" s="12" t="s">
        <v>461</v>
      </c>
      <c r="H615" s="13" t="s">
        <v>461</v>
      </c>
      <c r="I615" s="160">
        <v>0</v>
      </c>
      <c r="J615" s="15">
        <v>727981.1</v>
      </c>
      <c r="K615" s="258">
        <v>41320</v>
      </c>
      <c r="L615" s="285"/>
    </row>
    <row r="616" spans="1:12" s="277" customFormat="1" x14ac:dyDescent="0.25">
      <c r="A616" s="8" t="s">
        <v>0</v>
      </c>
      <c r="B616" s="39" t="s">
        <v>370</v>
      </c>
      <c r="C616" s="18" t="s">
        <v>4</v>
      </c>
      <c r="D616" s="11" t="s">
        <v>1260</v>
      </c>
      <c r="E616" s="12" t="s">
        <v>758</v>
      </c>
      <c r="F616" s="8" t="s">
        <v>2</v>
      </c>
      <c r="G616" s="12" t="s">
        <v>461</v>
      </c>
      <c r="H616" s="12" t="s">
        <v>461</v>
      </c>
      <c r="I616" s="160">
        <v>0</v>
      </c>
      <c r="J616" s="15">
        <v>3280739.67</v>
      </c>
      <c r="K616" s="8" t="s">
        <v>461</v>
      </c>
      <c r="L616" s="285"/>
    </row>
    <row r="617" spans="1:12" s="277" customFormat="1" x14ac:dyDescent="0.25">
      <c r="A617" s="8" t="s">
        <v>0</v>
      </c>
      <c r="B617" s="39" t="s">
        <v>371</v>
      </c>
      <c r="C617" s="18" t="s">
        <v>4</v>
      </c>
      <c r="D617" s="11"/>
      <c r="E617" s="12" t="s">
        <v>758</v>
      </c>
      <c r="F617" s="8" t="s">
        <v>2</v>
      </c>
      <c r="G617" s="12" t="s">
        <v>461</v>
      </c>
      <c r="H617" s="12" t="s">
        <v>461</v>
      </c>
      <c r="I617" s="160">
        <v>0</v>
      </c>
      <c r="J617" s="15">
        <v>1158942.7</v>
      </c>
      <c r="K617" s="25">
        <v>41320</v>
      </c>
      <c r="L617" s="285"/>
    </row>
    <row r="618" spans="1:12" s="277" customFormat="1" x14ac:dyDescent="0.25">
      <c r="A618" s="8" t="s">
        <v>0</v>
      </c>
      <c r="B618" s="39" t="s">
        <v>372</v>
      </c>
      <c r="C618" s="18" t="s">
        <v>5</v>
      </c>
      <c r="D618" s="11">
        <v>65</v>
      </c>
      <c r="E618" s="12" t="s">
        <v>758</v>
      </c>
      <c r="F618" s="12" t="s">
        <v>2</v>
      </c>
      <c r="G618" s="12" t="s">
        <v>461</v>
      </c>
      <c r="H618" s="12" t="s">
        <v>461</v>
      </c>
      <c r="I618" s="160">
        <v>0</v>
      </c>
      <c r="J618" s="15">
        <v>1287689.33</v>
      </c>
      <c r="K618" s="25" t="s">
        <v>461</v>
      </c>
      <c r="L618" s="285"/>
    </row>
    <row r="619" spans="1:12" s="277" customFormat="1" x14ac:dyDescent="0.25">
      <c r="A619" s="8" t="s">
        <v>0</v>
      </c>
      <c r="B619" s="39" t="s">
        <v>554</v>
      </c>
      <c r="C619" s="18" t="s">
        <v>5</v>
      </c>
      <c r="D619" s="11">
        <v>70</v>
      </c>
      <c r="E619" s="12" t="s">
        <v>758</v>
      </c>
      <c r="F619" s="12" t="s">
        <v>2</v>
      </c>
      <c r="G619" s="12" t="s">
        <v>461</v>
      </c>
      <c r="H619" s="12" t="s">
        <v>461</v>
      </c>
      <c r="I619" s="160">
        <v>0</v>
      </c>
      <c r="J619" s="15">
        <v>2425250</v>
      </c>
      <c r="K619" s="25" t="s">
        <v>461</v>
      </c>
      <c r="L619" s="285"/>
    </row>
    <row r="620" spans="1:12" s="277" customFormat="1" x14ac:dyDescent="0.25">
      <c r="A620" s="281" t="s">
        <v>0</v>
      </c>
      <c r="B620" s="245" t="s">
        <v>553</v>
      </c>
      <c r="C620" s="246" t="s">
        <v>4</v>
      </c>
      <c r="D620" s="11" t="s">
        <v>1260</v>
      </c>
      <c r="E620" s="12" t="s">
        <v>758</v>
      </c>
      <c r="F620" s="12" t="s">
        <v>2</v>
      </c>
      <c r="G620" s="12" t="s">
        <v>461</v>
      </c>
      <c r="H620" s="12" t="s">
        <v>461</v>
      </c>
      <c r="I620" s="160">
        <v>0</v>
      </c>
      <c r="J620" s="15">
        <v>4725833.33</v>
      </c>
      <c r="K620" s="25" t="s">
        <v>461</v>
      </c>
      <c r="L620" s="285"/>
    </row>
    <row r="621" spans="1:12" s="277" customFormat="1" x14ac:dyDescent="0.25">
      <c r="A621" s="8" t="s">
        <v>0</v>
      </c>
      <c r="B621" s="39" t="s">
        <v>373</v>
      </c>
      <c r="C621" s="18" t="s">
        <v>4</v>
      </c>
      <c r="D621" s="11">
        <v>80</v>
      </c>
      <c r="E621" s="12" t="s">
        <v>758</v>
      </c>
      <c r="F621" s="12" t="s">
        <v>2</v>
      </c>
      <c r="G621" s="12" t="s">
        <v>461</v>
      </c>
      <c r="H621" s="12" t="s">
        <v>461</v>
      </c>
      <c r="I621" s="160">
        <v>0</v>
      </c>
      <c r="J621" s="15">
        <v>4419330.74</v>
      </c>
      <c r="K621" s="25" t="s">
        <v>461</v>
      </c>
      <c r="L621" s="285"/>
    </row>
    <row r="622" spans="1:12" s="277" customFormat="1" x14ac:dyDescent="0.25">
      <c r="A622" s="8" t="s">
        <v>0</v>
      </c>
      <c r="B622" s="39" t="s">
        <v>555</v>
      </c>
      <c r="C622" s="18" t="s">
        <v>5</v>
      </c>
      <c r="D622" s="11">
        <v>83</v>
      </c>
      <c r="E622" s="12" t="s">
        <v>758</v>
      </c>
      <c r="F622" s="12" t="s">
        <v>2</v>
      </c>
      <c r="G622" s="12" t="s">
        <v>461</v>
      </c>
      <c r="H622" s="12" t="s">
        <v>461</v>
      </c>
      <c r="I622" s="160">
        <v>0</v>
      </c>
      <c r="J622" s="15">
        <v>2069909.75</v>
      </c>
      <c r="K622" s="25" t="s">
        <v>461</v>
      </c>
      <c r="L622" s="285"/>
    </row>
    <row r="623" spans="1:12" s="277" customFormat="1" x14ac:dyDescent="0.25">
      <c r="A623" s="8" t="s">
        <v>0</v>
      </c>
      <c r="B623" s="39" t="s">
        <v>374</v>
      </c>
      <c r="C623" s="18" t="s">
        <v>5</v>
      </c>
      <c r="D623" s="11">
        <v>92</v>
      </c>
      <c r="E623" s="12" t="s">
        <v>758</v>
      </c>
      <c r="F623" s="8" t="s">
        <v>2</v>
      </c>
      <c r="G623" s="12" t="s">
        <v>461</v>
      </c>
      <c r="H623" s="12" t="s">
        <v>461</v>
      </c>
      <c r="I623" s="160">
        <v>0</v>
      </c>
      <c r="J623" s="15">
        <v>768149.41999999993</v>
      </c>
      <c r="K623" s="25" t="s">
        <v>461</v>
      </c>
      <c r="L623" s="285"/>
    </row>
    <row r="624" spans="1:12" s="277" customFormat="1" x14ac:dyDescent="0.25">
      <c r="A624" s="8" t="s">
        <v>0</v>
      </c>
      <c r="B624" s="39" t="s">
        <v>375</v>
      </c>
      <c r="C624" s="18" t="s">
        <v>5</v>
      </c>
      <c r="D624" s="11"/>
      <c r="E624" s="12" t="s">
        <v>758</v>
      </c>
      <c r="F624" s="8" t="s">
        <v>2</v>
      </c>
      <c r="G624" s="12" t="s">
        <v>461</v>
      </c>
      <c r="H624" s="12" t="s">
        <v>461</v>
      </c>
      <c r="I624" s="160">
        <v>0</v>
      </c>
      <c r="J624" s="15">
        <v>2479655.58</v>
      </c>
      <c r="K624" s="25">
        <v>41320</v>
      </c>
      <c r="L624" s="285"/>
    </row>
    <row r="625" spans="1:12" s="277" customFormat="1" x14ac:dyDescent="0.25">
      <c r="A625" s="281" t="s">
        <v>0</v>
      </c>
      <c r="B625" s="251" t="s">
        <v>683</v>
      </c>
      <c r="C625" s="256" t="s">
        <v>5</v>
      </c>
      <c r="D625" s="280">
        <v>66</v>
      </c>
      <c r="E625" s="278" t="s">
        <v>758</v>
      </c>
      <c r="F625" s="12" t="s">
        <v>2</v>
      </c>
      <c r="G625" s="12" t="s">
        <v>461</v>
      </c>
      <c r="H625" s="12" t="s">
        <v>461</v>
      </c>
      <c r="I625" s="160">
        <v>0</v>
      </c>
      <c r="J625" s="15">
        <v>159162.66</v>
      </c>
      <c r="K625" s="258" t="s">
        <v>461</v>
      </c>
      <c r="L625" s="285"/>
    </row>
    <row r="626" spans="1:12" s="277" customFormat="1" x14ac:dyDescent="0.25">
      <c r="A626" s="8" t="s">
        <v>0</v>
      </c>
      <c r="B626" s="39" t="s">
        <v>376</v>
      </c>
      <c r="C626" s="18" t="s">
        <v>106</v>
      </c>
      <c r="D626" s="11">
        <v>42</v>
      </c>
      <c r="E626" s="12" t="s">
        <v>758</v>
      </c>
      <c r="F626" s="13" t="s">
        <v>2</v>
      </c>
      <c r="G626" s="12" t="s">
        <v>461</v>
      </c>
      <c r="H626" s="12" t="s">
        <v>461</v>
      </c>
      <c r="I626" s="160">
        <v>0</v>
      </c>
      <c r="J626" s="15">
        <v>227916.66999999998</v>
      </c>
      <c r="K626" s="25" t="s">
        <v>461</v>
      </c>
      <c r="L626" s="285"/>
    </row>
    <row r="627" spans="1:12" s="277" customFormat="1" x14ac:dyDescent="0.25">
      <c r="A627" s="8" t="s">
        <v>0</v>
      </c>
      <c r="B627" s="39" t="s">
        <v>377</v>
      </c>
      <c r="C627" s="18" t="s">
        <v>5</v>
      </c>
      <c r="D627" s="17" t="s">
        <v>915</v>
      </c>
      <c r="E627" s="12" t="s">
        <v>758</v>
      </c>
      <c r="F627" s="12" t="s">
        <v>2</v>
      </c>
      <c r="G627" s="12" t="s">
        <v>461</v>
      </c>
      <c r="H627" s="12" t="s">
        <v>461</v>
      </c>
      <c r="I627" s="160">
        <v>0</v>
      </c>
      <c r="J627" s="15">
        <v>207947.78</v>
      </c>
      <c r="K627" s="25" t="s">
        <v>461</v>
      </c>
      <c r="L627" s="285"/>
    </row>
    <row r="628" spans="1:12" s="277" customFormat="1" x14ac:dyDescent="0.25">
      <c r="A628" s="8" t="s">
        <v>0</v>
      </c>
      <c r="B628" s="39" t="s">
        <v>378</v>
      </c>
      <c r="C628" s="18" t="s">
        <v>5</v>
      </c>
      <c r="D628" s="11">
        <v>87</v>
      </c>
      <c r="E628" s="12" t="s">
        <v>758</v>
      </c>
      <c r="F628" s="8" t="s">
        <v>2</v>
      </c>
      <c r="G628" s="12" t="s">
        <v>461</v>
      </c>
      <c r="H628" s="12" t="s">
        <v>461</v>
      </c>
      <c r="I628" s="160">
        <v>0</v>
      </c>
      <c r="J628" s="15">
        <v>284999</v>
      </c>
      <c r="K628" s="25">
        <v>41320</v>
      </c>
      <c r="L628" s="285"/>
    </row>
    <row r="629" spans="1:12" s="277" customFormat="1" x14ac:dyDescent="0.25">
      <c r="A629" s="8" t="s">
        <v>0</v>
      </c>
      <c r="B629" s="39" t="s">
        <v>379</v>
      </c>
      <c r="C629" s="18" t="s">
        <v>4</v>
      </c>
      <c r="D629" s="17" t="s">
        <v>1260</v>
      </c>
      <c r="E629" s="12" t="s">
        <v>758</v>
      </c>
      <c r="F629" s="12" t="s">
        <v>2</v>
      </c>
      <c r="G629" s="12" t="s">
        <v>461</v>
      </c>
      <c r="H629" s="12" t="s">
        <v>461</v>
      </c>
      <c r="I629" s="160">
        <v>0</v>
      </c>
      <c r="J629" s="15">
        <v>16163194.449999999</v>
      </c>
      <c r="K629" s="12" t="s">
        <v>461</v>
      </c>
      <c r="L629" s="285"/>
    </row>
    <row r="630" spans="1:12" s="277" customFormat="1" x14ac:dyDescent="0.25">
      <c r="A630" s="8" t="s">
        <v>0</v>
      </c>
      <c r="B630" s="39" t="s">
        <v>380</v>
      </c>
      <c r="C630" s="18" t="s">
        <v>5</v>
      </c>
      <c r="D630" s="11">
        <v>65</v>
      </c>
      <c r="E630" s="12" t="s">
        <v>758</v>
      </c>
      <c r="F630" s="12" t="s">
        <v>2</v>
      </c>
      <c r="G630" s="12" t="s">
        <v>461</v>
      </c>
      <c r="H630" s="12" t="s">
        <v>461</v>
      </c>
      <c r="I630" s="160">
        <v>0</v>
      </c>
      <c r="J630" s="15">
        <v>13239939.77</v>
      </c>
      <c r="K630" s="25" t="s">
        <v>461</v>
      </c>
      <c r="L630" s="285"/>
    </row>
    <row r="631" spans="1:12" s="285" customFormat="1" x14ac:dyDescent="0.25">
      <c r="A631" s="8" t="s">
        <v>0</v>
      </c>
      <c r="B631" s="21" t="s">
        <v>659</v>
      </c>
      <c r="C631" s="44" t="s">
        <v>560</v>
      </c>
      <c r="D631" s="26"/>
      <c r="E631" s="8" t="s">
        <v>661</v>
      </c>
      <c r="F631" s="30" t="s">
        <v>2</v>
      </c>
      <c r="G631" s="12" t="s">
        <v>461</v>
      </c>
      <c r="H631" s="12" t="s">
        <v>461</v>
      </c>
      <c r="I631" s="160">
        <v>0</v>
      </c>
      <c r="J631" s="15">
        <v>534285.92999999993</v>
      </c>
      <c r="K631" s="25">
        <v>41320</v>
      </c>
    </row>
    <row r="632" spans="1:12" s="277" customFormat="1" x14ac:dyDescent="0.25">
      <c r="A632" s="8" t="s">
        <v>0</v>
      </c>
      <c r="B632" s="39" t="s">
        <v>381</v>
      </c>
      <c r="C632" s="19" t="s">
        <v>4</v>
      </c>
      <c r="D632" s="11"/>
      <c r="E632" s="12" t="s">
        <v>758</v>
      </c>
      <c r="F632" s="8" t="s">
        <v>2</v>
      </c>
      <c r="G632" s="12" t="s">
        <v>461</v>
      </c>
      <c r="H632" s="12" t="s">
        <v>461</v>
      </c>
      <c r="I632" s="160">
        <v>0</v>
      </c>
      <c r="J632" s="15">
        <v>622343.75</v>
      </c>
      <c r="K632" s="25">
        <v>41320</v>
      </c>
      <c r="L632" s="285"/>
    </row>
    <row r="633" spans="1:12" s="277" customFormat="1" x14ac:dyDescent="0.25">
      <c r="A633" s="8" t="s">
        <v>0</v>
      </c>
      <c r="B633" s="39" t="s">
        <v>382</v>
      </c>
      <c r="C633" s="19" t="s">
        <v>4</v>
      </c>
      <c r="D633" s="11">
        <v>10</v>
      </c>
      <c r="E633" s="12" t="s">
        <v>758</v>
      </c>
      <c r="F633" s="12" t="s">
        <v>2</v>
      </c>
      <c r="G633" s="12" t="s">
        <v>461</v>
      </c>
      <c r="H633" s="12" t="s">
        <v>461</v>
      </c>
      <c r="I633" s="160">
        <v>0</v>
      </c>
      <c r="J633" s="15">
        <v>20777777.780000001</v>
      </c>
      <c r="K633" s="13" t="s">
        <v>461</v>
      </c>
      <c r="L633" s="285"/>
    </row>
    <row r="634" spans="1:12" s="277" customFormat="1" x14ac:dyDescent="0.25">
      <c r="A634" s="8" t="s">
        <v>0</v>
      </c>
      <c r="B634" s="9" t="s">
        <v>382</v>
      </c>
      <c r="C634" s="19" t="s">
        <v>669</v>
      </c>
      <c r="D634" s="11">
        <v>10</v>
      </c>
      <c r="E634" s="12" t="s">
        <v>758</v>
      </c>
      <c r="F634" s="12" t="s">
        <v>2</v>
      </c>
      <c r="G634" s="12" t="s">
        <v>461</v>
      </c>
      <c r="H634" s="12" t="s">
        <v>461</v>
      </c>
      <c r="I634" s="160">
        <v>0</v>
      </c>
      <c r="J634" s="15">
        <v>150768750</v>
      </c>
      <c r="K634" s="25">
        <v>41320</v>
      </c>
      <c r="L634" s="285"/>
    </row>
    <row r="635" spans="1:12" s="277" customFormat="1" x14ac:dyDescent="0.25">
      <c r="A635" s="8" t="s">
        <v>0</v>
      </c>
      <c r="B635" s="39" t="s">
        <v>383</v>
      </c>
      <c r="C635" s="18" t="s">
        <v>4</v>
      </c>
      <c r="D635" s="11"/>
      <c r="E635" s="12" t="s">
        <v>758</v>
      </c>
      <c r="F635" s="8" t="s">
        <v>2</v>
      </c>
      <c r="G635" s="12" t="s">
        <v>461</v>
      </c>
      <c r="H635" s="12" t="s">
        <v>461</v>
      </c>
      <c r="I635" s="160">
        <v>0</v>
      </c>
      <c r="J635" s="15">
        <v>4783333.33</v>
      </c>
      <c r="K635" s="25">
        <v>41320</v>
      </c>
      <c r="L635" s="285"/>
    </row>
    <row r="636" spans="1:12" s="277" customFormat="1" x14ac:dyDescent="0.25">
      <c r="A636" s="8" t="s">
        <v>0</v>
      </c>
      <c r="B636" s="39" t="s">
        <v>384</v>
      </c>
      <c r="C636" s="18" t="s">
        <v>5</v>
      </c>
      <c r="D636" s="11"/>
      <c r="E636" s="12" t="s">
        <v>758</v>
      </c>
      <c r="F636" s="8" t="s">
        <v>2</v>
      </c>
      <c r="G636" s="12" t="s">
        <v>461</v>
      </c>
      <c r="H636" s="12" t="s">
        <v>461</v>
      </c>
      <c r="I636" s="160">
        <v>0</v>
      </c>
      <c r="J636" s="15">
        <v>132253</v>
      </c>
      <c r="K636" s="25">
        <v>41320</v>
      </c>
      <c r="L636" s="285"/>
    </row>
    <row r="637" spans="1:12" s="285" customFormat="1" ht="15" customHeight="1" x14ac:dyDescent="0.25">
      <c r="A637" s="8" t="s">
        <v>0</v>
      </c>
      <c r="B637" s="21" t="s">
        <v>603</v>
      </c>
      <c r="C637" s="44" t="s">
        <v>610</v>
      </c>
      <c r="D637" s="26">
        <v>42</v>
      </c>
      <c r="E637" s="8" t="s">
        <v>661</v>
      </c>
      <c r="F637" s="13" t="s">
        <v>2</v>
      </c>
      <c r="G637" s="12" t="s">
        <v>461</v>
      </c>
      <c r="H637" s="12" t="s">
        <v>461</v>
      </c>
      <c r="I637" s="160">
        <v>0</v>
      </c>
      <c r="J637" s="15">
        <v>660215.12</v>
      </c>
      <c r="K637" s="25" t="s">
        <v>461</v>
      </c>
    </row>
    <row r="638" spans="1:12" s="277" customFormat="1" x14ac:dyDescent="0.25">
      <c r="A638" s="8" t="s">
        <v>0</v>
      </c>
      <c r="B638" s="39" t="s">
        <v>385</v>
      </c>
      <c r="C638" s="18" t="s">
        <v>5</v>
      </c>
      <c r="D638" s="17"/>
      <c r="E638" s="12" t="s">
        <v>758</v>
      </c>
      <c r="F638" s="8" t="s">
        <v>2</v>
      </c>
      <c r="G638" s="12" t="s">
        <v>461</v>
      </c>
      <c r="H638" s="12" t="s">
        <v>461</v>
      </c>
      <c r="I638" s="160">
        <v>0</v>
      </c>
      <c r="J638" s="15">
        <v>467412.5</v>
      </c>
      <c r="K638" s="25">
        <v>41320</v>
      </c>
      <c r="L638" s="285"/>
    </row>
    <row r="639" spans="1:12" s="277" customFormat="1" x14ac:dyDescent="0.25">
      <c r="A639" s="8" t="s">
        <v>0</v>
      </c>
      <c r="B639" s="9" t="s">
        <v>698</v>
      </c>
      <c r="C639" s="19" t="s">
        <v>4</v>
      </c>
      <c r="D639" s="11">
        <v>92</v>
      </c>
      <c r="E639" s="12" t="s">
        <v>758</v>
      </c>
      <c r="F639" s="12" t="s">
        <v>2</v>
      </c>
      <c r="G639" s="12" t="s">
        <v>461</v>
      </c>
      <c r="H639" s="12" t="s">
        <v>461</v>
      </c>
      <c r="I639" s="160">
        <v>0</v>
      </c>
      <c r="J639" s="15">
        <v>3203017.9299999997</v>
      </c>
      <c r="K639" s="25" t="s">
        <v>461</v>
      </c>
      <c r="L639" s="285"/>
    </row>
    <row r="640" spans="1:12" s="285" customFormat="1" ht="15" customHeight="1" x14ac:dyDescent="0.25">
      <c r="A640" s="8" t="s">
        <v>0</v>
      </c>
      <c r="B640" s="21" t="s">
        <v>604</v>
      </c>
      <c r="C640" s="44" t="s">
        <v>560</v>
      </c>
      <c r="D640" s="26"/>
      <c r="E640" s="8" t="s">
        <v>661</v>
      </c>
      <c r="F640" s="30" t="s">
        <v>2</v>
      </c>
      <c r="G640" s="12" t="s">
        <v>461</v>
      </c>
      <c r="H640" s="12" t="s">
        <v>461</v>
      </c>
      <c r="I640" s="160">
        <v>0</v>
      </c>
      <c r="J640" s="15">
        <v>522262.58</v>
      </c>
      <c r="K640" s="25">
        <v>41320</v>
      </c>
    </row>
    <row r="641" spans="1:12" s="277" customFormat="1" x14ac:dyDescent="0.25">
      <c r="A641" s="8" t="s">
        <v>0</v>
      </c>
      <c r="B641" s="39" t="s">
        <v>386</v>
      </c>
      <c r="C641" s="18" t="s">
        <v>5</v>
      </c>
      <c r="D641" s="11"/>
      <c r="E641" s="12" t="s">
        <v>759</v>
      </c>
      <c r="F641" s="8" t="s">
        <v>2</v>
      </c>
      <c r="G641" s="12" t="s">
        <v>461</v>
      </c>
      <c r="H641" s="12" t="s">
        <v>461</v>
      </c>
      <c r="I641" s="160">
        <v>0</v>
      </c>
      <c r="J641" s="15">
        <v>54500</v>
      </c>
      <c r="K641" s="25">
        <v>41320</v>
      </c>
      <c r="L641" s="285"/>
    </row>
    <row r="642" spans="1:12" s="277" customFormat="1" x14ac:dyDescent="0.25">
      <c r="A642" s="8" t="s">
        <v>0</v>
      </c>
      <c r="B642" s="39" t="s">
        <v>387</v>
      </c>
      <c r="C642" s="18" t="s">
        <v>4</v>
      </c>
      <c r="D642" s="11">
        <v>97</v>
      </c>
      <c r="E642" s="12" t="s">
        <v>758</v>
      </c>
      <c r="F642" s="8" t="s">
        <v>2</v>
      </c>
      <c r="G642" s="12" t="s">
        <v>461</v>
      </c>
      <c r="H642" s="12" t="s">
        <v>461</v>
      </c>
      <c r="I642" s="160">
        <v>0</v>
      </c>
      <c r="J642" s="15">
        <v>1046500</v>
      </c>
      <c r="K642" s="25">
        <v>41320</v>
      </c>
      <c r="L642" s="285"/>
    </row>
    <row r="643" spans="1:12" s="277" customFormat="1" x14ac:dyDescent="0.25">
      <c r="A643" s="8" t="s">
        <v>0</v>
      </c>
      <c r="B643" s="9" t="s">
        <v>711</v>
      </c>
      <c r="C643" s="19" t="s">
        <v>5</v>
      </c>
      <c r="D643" s="17">
        <v>92</v>
      </c>
      <c r="E643" s="12" t="s">
        <v>759</v>
      </c>
      <c r="F643" s="12" t="s">
        <v>2</v>
      </c>
      <c r="G643" s="12" t="s">
        <v>461</v>
      </c>
      <c r="H643" s="13" t="s">
        <v>461</v>
      </c>
      <c r="I643" s="160">
        <v>0</v>
      </c>
      <c r="J643" s="15">
        <v>1740944.25</v>
      </c>
      <c r="K643" s="25" t="s">
        <v>461</v>
      </c>
      <c r="L643" s="285"/>
    </row>
    <row r="644" spans="1:12" s="277" customFormat="1" x14ac:dyDescent="0.25">
      <c r="A644" s="8" t="s">
        <v>0</v>
      </c>
      <c r="B644" s="39" t="s">
        <v>388</v>
      </c>
      <c r="C644" s="18" t="s">
        <v>4</v>
      </c>
      <c r="D644" s="11" t="s">
        <v>915</v>
      </c>
      <c r="E644" s="12" t="s">
        <v>758</v>
      </c>
      <c r="F644" s="8" t="s">
        <v>2</v>
      </c>
      <c r="G644" s="12" t="s">
        <v>461</v>
      </c>
      <c r="H644" s="12" t="s">
        <v>461</v>
      </c>
      <c r="I644" s="160">
        <v>0</v>
      </c>
      <c r="J644" s="15">
        <v>2271405</v>
      </c>
      <c r="K644" s="25" t="s">
        <v>461</v>
      </c>
      <c r="L644" s="285"/>
    </row>
    <row r="645" spans="1:12" s="277" customFormat="1" x14ac:dyDescent="0.25">
      <c r="A645" s="8" t="s">
        <v>0</v>
      </c>
      <c r="B645" s="39" t="s">
        <v>389</v>
      </c>
      <c r="C645" s="18" t="s">
        <v>5</v>
      </c>
      <c r="D645" s="11">
        <v>56</v>
      </c>
      <c r="E645" s="12" t="s">
        <v>758</v>
      </c>
      <c r="F645" s="8" t="s">
        <v>2</v>
      </c>
      <c r="G645" s="12" t="s">
        <v>461</v>
      </c>
      <c r="H645" s="12" t="s">
        <v>461</v>
      </c>
      <c r="I645" s="160">
        <v>0</v>
      </c>
      <c r="J645" s="15">
        <v>498859.56000000006</v>
      </c>
      <c r="K645" s="25">
        <v>41320</v>
      </c>
      <c r="L645" s="285"/>
    </row>
    <row r="646" spans="1:12" s="277" customFormat="1" x14ac:dyDescent="0.25">
      <c r="A646" s="8" t="s">
        <v>0</v>
      </c>
      <c r="B646" s="39" t="s">
        <v>390</v>
      </c>
      <c r="C646" s="18" t="s">
        <v>4</v>
      </c>
      <c r="D646" s="11" t="s">
        <v>1260</v>
      </c>
      <c r="E646" s="12" t="s">
        <v>758</v>
      </c>
      <c r="F646" s="8" t="s">
        <v>2</v>
      </c>
      <c r="G646" s="12" t="s">
        <v>461</v>
      </c>
      <c r="H646" s="12" t="s">
        <v>461</v>
      </c>
      <c r="I646" s="160">
        <v>0</v>
      </c>
      <c r="J646" s="15">
        <v>45512132.920000002</v>
      </c>
      <c r="K646" s="25" t="s">
        <v>461</v>
      </c>
      <c r="L646" s="285"/>
    </row>
    <row r="647" spans="1:12" s="277" customFormat="1" x14ac:dyDescent="0.25">
      <c r="A647" s="8" t="s">
        <v>0</v>
      </c>
      <c r="B647" s="9" t="s">
        <v>700</v>
      </c>
      <c r="C647" s="19" t="s">
        <v>5</v>
      </c>
      <c r="D647" s="11">
        <v>65</v>
      </c>
      <c r="E647" s="12" t="s">
        <v>759</v>
      </c>
      <c r="F647" s="12" t="s">
        <v>2</v>
      </c>
      <c r="G647" s="12" t="s">
        <v>461</v>
      </c>
      <c r="H647" s="12" t="s">
        <v>461</v>
      </c>
      <c r="I647" s="160">
        <v>0</v>
      </c>
      <c r="J647" s="15">
        <v>421311.8</v>
      </c>
      <c r="K647" s="25" t="s">
        <v>461</v>
      </c>
      <c r="L647" s="285"/>
    </row>
    <row r="648" spans="1:12" s="277" customFormat="1" x14ac:dyDescent="0.25">
      <c r="A648" s="8" t="s">
        <v>0</v>
      </c>
      <c r="B648" s="9" t="s">
        <v>1189</v>
      </c>
      <c r="C648" s="18" t="s">
        <v>4</v>
      </c>
      <c r="D648" s="280">
        <v>90</v>
      </c>
      <c r="E648" s="12" t="s">
        <v>758</v>
      </c>
      <c r="F648" s="12" t="s">
        <v>2</v>
      </c>
      <c r="G648" s="12" t="s">
        <v>461</v>
      </c>
      <c r="H648" s="12" t="s">
        <v>461</v>
      </c>
      <c r="I648" s="160">
        <v>0</v>
      </c>
      <c r="J648" s="15">
        <v>28553036.670000002</v>
      </c>
      <c r="K648" s="258" t="s">
        <v>461</v>
      </c>
      <c r="L648" s="285"/>
    </row>
    <row r="649" spans="1:12" s="277" customFormat="1" x14ac:dyDescent="0.25">
      <c r="A649" s="8" t="s">
        <v>0</v>
      </c>
      <c r="B649" s="39" t="s">
        <v>391</v>
      </c>
      <c r="C649" s="18" t="s">
        <v>4</v>
      </c>
      <c r="D649" s="11"/>
      <c r="E649" s="12" t="s">
        <v>758</v>
      </c>
      <c r="F649" s="8" t="s">
        <v>2</v>
      </c>
      <c r="G649" s="12" t="s">
        <v>461</v>
      </c>
      <c r="H649" s="12" t="s">
        <v>461</v>
      </c>
      <c r="I649" s="160">
        <v>0</v>
      </c>
      <c r="J649" s="15">
        <v>543091</v>
      </c>
      <c r="K649" s="25">
        <v>41320</v>
      </c>
      <c r="L649" s="285"/>
    </row>
    <row r="650" spans="1:12" s="277" customFormat="1" x14ac:dyDescent="0.25">
      <c r="A650" s="8" t="s">
        <v>0</v>
      </c>
      <c r="B650" s="39" t="s">
        <v>392</v>
      </c>
      <c r="C650" s="18" t="s">
        <v>5</v>
      </c>
      <c r="D650" s="11">
        <v>42</v>
      </c>
      <c r="E650" s="12" t="s">
        <v>758</v>
      </c>
      <c r="F650" s="12" t="s">
        <v>2</v>
      </c>
      <c r="G650" s="12" t="s">
        <v>461</v>
      </c>
      <c r="H650" s="12" t="s">
        <v>461</v>
      </c>
      <c r="I650" s="160">
        <v>0</v>
      </c>
      <c r="J650" s="15">
        <v>802802</v>
      </c>
      <c r="K650" s="25" t="s">
        <v>461</v>
      </c>
      <c r="L650" s="285"/>
    </row>
    <row r="651" spans="1:12" s="277" customFormat="1" x14ac:dyDescent="0.25">
      <c r="A651" s="8" t="s">
        <v>0</v>
      </c>
      <c r="B651" s="39" t="s">
        <v>393</v>
      </c>
      <c r="C651" s="18" t="s">
        <v>5</v>
      </c>
      <c r="D651" s="11">
        <v>65</v>
      </c>
      <c r="E651" s="12" t="s">
        <v>759</v>
      </c>
      <c r="F651" s="12" t="s">
        <v>2</v>
      </c>
      <c r="G651" s="12" t="s">
        <v>461</v>
      </c>
      <c r="H651" s="12" t="s">
        <v>461</v>
      </c>
      <c r="I651" s="160">
        <v>0</v>
      </c>
      <c r="J651" s="15">
        <v>630156.75</v>
      </c>
      <c r="K651" s="25" t="s">
        <v>461</v>
      </c>
      <c r="L651" s="285"/>
    </row>
    <row r="652" spans="1:12" s="277" customFormat="1" x14ac:dyDescent="0.25">
      <c r="A652" s="8" t="s">
        <v>0</v>
      </c>
      <c r="B652" s="39" t="s">
        <v>394</v>
      </c>
      <c r="C652" s="18" t="s">
        <v>4</v>
      </c>
      <c r="D652" s="11">
        <v>80</v>
      </c>
      <c r="E652" s="12" t="s">
        <v>758</v>
      </c>
      <c r="F652" s="12" t="s">
        <v>2</v>
      </c>
      <c r="G652" s="12" t="s">
        <v>461</v>
      </c>
      <c r="H652" s="12" t="s">
        <v>461</v>
      </c>
      <c r="I652" s="160">
        <v>0</v>
      </c>
      <c r="J652" s="15">
        <v>5635509.29</v>
      </c>
      <c r="K652" s="25" t="s">
        <v>461</v>
      </c>
      <c r="L652" s="285"/>
    </row>
    <row r="653" spans="1:12" s="277" customFormat="1" x14ac:dyDescent="0.25">
      <c r="A653" s="8" t="s">
        <v>0</v>
      </c>
      <c r="B653" s="39" t="s">
        <v>395</v>
      </c>
      <c r="C653" s="18" t="s">
        <v>4</v>
      </c>
      <c r="D653" s="11">
        <v>65</v>
      </c>
      <c r="E653" s="12" t="s">
        <v>758</v>
      </c>
      <c r="F653" s="12" t="s">
        <v>2</v>
      </c>
      <c r="G653" s="12" t="s">
        <v>461</v>
      </c>
      <c r="H653" s="12" t="s">
        <v>461</v>
      </c>
      <c r="I653" s="160">
        <v>0</v>
      </c>
      <c r="J653" s="15">
        <v>4949567.33</v>
      </c>
      <c r="K653" s="25" t="s">
        <v>461</v>
      </c>
      <c r="L653" s="285"/>
    </row>
    <row r="654" spans="1:12" s="277" customFormat="1" x14ac:dyDescent="0.25">
      <c r="A654" s="8" t="s">
        <v>0</v>
      </c>
      <c r="B654" s="9" t="s">
        <v>701</v>
      </c>
      <c r="C654" s="19" t="s">
        <v>5</v>
      </c>
      <c r="D654" s="11"/>
      <c r="E654" s="12" t="s">
        <v>758</v>
      </c>
      <c r="F654" s="12" t="s">
        <v>2</v>
      </c>
      <c r="G654" s="12" t="s">
        <v>461</v>
      </c>
      <c r="H654" s="12" t="s">
        <v>461</v>
      </c>
      <c r="I654" s="160">
        <v>0</v>
      </c>
      <c r="J654" s="15">
        <v>608163.33000000007</v>
      </c>
      <c r="K654" s="25">
        <v>41320</v>
      </c>
      <c r="L654" s="285"/>
    </row>
    <row r="655" spans="1:12" s="277" customFormat="1" x14ac:dyDescent="0.25">
      <c r="A655" s="8" t="s">
        <v>0</v>
      </c>
      <c r="B655" s="39" t="s">
        <v>617</v>
      </c>
      <c r="C655" s="45" t="s">
        <v>561</v>
      </c>
      <c r="D655" s="11"/>
      <c r="E655" s="12" t="s">
        <v>758</v>
      </c>
      <c r="F655" s="8" t="s">
        <v>2</v>
      </c>
      <c r="G655" s="12" t="s">
        <v>461</v>
      </c>
      <c r="H655" s="12" t="s">
        <v>461</v>
      </c>
      <c r="I655" s="160">
        <v>0</v>
      </c>
      <c r="J655" s="15">
        <v>893934.15</v>
      </c>
      <c r="K655" s="25">
        <v>41320</v>
      </c>
      <c r="L655" s="285"/>
    </row>
    <row r="656" spans="1:12" s="277" customFormat="1" x14ac:dyDescent="0.25">
      <c r="A656" s="8" t="s">
        <v>0</v>
      </c>
      <c r="B656" s="39" t="s">
        <v>396</v>
      </c>
      <c r="C656" s="18" t="s">
        <v>5</v>
      </c>
      <c r="D656" s="17">
        <v>65</v>
      </c>
      <c r="E656" s="12" t="s">
        <v>758</v>
      </c>
      <c r="F656" s="12" t="s">
        <v>2</v>
      </c>
      <c r="G656" s="12" t="s">
        <v>461</v>
      </c>
      <c r="H656" s="12" t="s">
        <v>461</v>
      </c>
      <c r="I656" s="160">
        <v>0</v>
      </c>
      <c r="J656" s="15">
        <v>520626.39</v>
      </c>
      <c r="K656" s="25" t="s">
        <v>461</v>
      </c>
      <c r="L656" s="285"/>
    </row>
    <row r="657" spans="1:12" s="277" customFormat="1" x14ac:dyDescent="0.25">
      <c r="A657" s="281" t="s">
        <v>0</v>
      </c>
      <c r="B657" s="253" t="s">
        <v>397</v>
      </c>
      <c r="C657" s="254" t="s">
        <v>5</v>
      </c>
      <c r="D657" s="280">
        <v>65</v>
      </c>
      <c r="E657" s="278" t="s">
        <v>758</v>
      </c>
      <c r="F657" s="12" t="s">
        <v>2</v>
      </c>
      <c r="G657" s="12" t="s">
        <v>461</v>
      </c>
      <c r="H657" s="12" t="s">
        <v>461</v>
      </c>
      <c r="I657" s="160">
        <v>0</v>
      </c>
      <c r="J657" s="15">
        <v>425810.92</v>
      </c>
      <c r="K657" s="258" t="s">
        <v>461</v>
      </c>
      <c r="L657" s="285"/>
    </row>
    <row r="658" spans="1:12" s="277" customFormat="1" x14ac:dyDescent="0.25">
      <c r="A658" s="8" t="s">
        <v>0</v>
      </c>
      <c r="B658" s="39" t="s">
        <v>398</v>
      </c>
      <c r="C658" s="18" t="s">
        <v>5</v>
      </c>
      <c r="D658" s="11"/>
      <c r="E658" s="12" t="s">
        <v>758</v>
      </c>
      <c r="F658" s="8" t="s">
        <v>2</v>
      </c>
      <c r="G658" s="12" t="s">
        <v>461</v>
      </c>
      <c r="H658" s="12" t="s">
        <v>461</v>
      </c>
      <c r="I658" s="160">
        <v>0</v>
      </c>
      <c r="J658" s="15">
        <v>784281.5</v>
      </c>
      <c r="K658" s="25">
        <v>41320</v>
      </c>
      <c r="L658" s="285"/>
    </row>
    <row r="659" spans="1:12" s="277" customFormat="1" x14ac:dyDescent="0.25">
      <c r="A659" s="8" t="s">
        <v>0</v>
      </c>
      <c r="B659" s="39" t="s">
        <v>399</v>
      </c>
      <c r="C659" s="18" t="s">
        <v>5</v>
      </c>
      <c r="D659" s="11">
        <v>65</v>
      </c>
      <c r="E659" s="12" t="s">
        <v>758</v>
      </c>
      <c r="F659" s="12" t="s">
        <v>2</v>
      </c>
      <c r="G659" s="12" t="s">
        <v>461</v>
      </c>
      <c r="H659" s="12" t="s">
        <v>461</v>
      </c>
      <c r="I659" s="160">
        <v>0</v>
      </c>
      <c r="J659" s="15">
        <v>347328</v>
      </c>
      <c r="K659" s="25" t="s">
        <v>461</v>
      </c>
      <c r="L659" s="285"/>
    </row>
    <row r="660" spans="1:12" s="277" customFormat="1" x14ac:dyDescent="0.25">
      <c r="A660" s="8" t="s">
        <v>0</v>
      </c>
      <c r="B660" s="9" t="s">
        <v>699</v>
      </c>
      <c r="C660" s="19" t="s">
        <v>5</v>
      </c>
      <c r="D660" s="11">
        <v>77</v>
      </c>
      <c r="E660" s="12" t="s">
        <v>758</v>
      </c>
      <c r="F660" s="12" t="s">
        <v>2</v>
      </c>
      <c r="G660" s="12" t="s">
        <v>461</v>
      </c>
      <c r="H660" s="12" t="s">
        <v>461</v>
      </c>
      <c r="I660" s="160">
        <v>0</v>
      </c>
      <c r="J660" s="15">
        <v>1513338.99</v>
      </c>
      <c r="K660" s="25" t="s">
        <v>461</v>
      </c>
      <c r="L660" s="285"/>
    </row>
    <row r="661" spans="1:12" s="277" customFormat="1" x14ac:dyDescent="0.25">
      <c r="A661" s="8" t="s">
        <v>0</v>
      </c>
      <c r="B661" s="39" t="s">
        <v>400</v>
      </c>
      <c r="C661" s="18" t="s">
        <v>5</v>
      </c>
      <c r="D661" s="11">
        <v>92</v>
      </c>
      <c r="E661" s="12" t="s">
        <v>758</v>
      </c>
      <c r="F661" s="8" t="s">
        <v>2</v>
      </c>
      <c r="G661" s="12" t="s">
        <v>461</v>
      </c>
      <c r="H661" s="12" t="s">
        <v>461</v>
      </c>
      <c r="I661" s="160">
        <v>0</v>
      </c>
      <c r="J661" s="15">
        <v>305659.5</v>
      </c>
      <c r="K661" s="25" t="s">
        <v>461</v>
      </c>
      <c r="L661" s="285"/>
    </row>
    <row r="662" spans="1:12" s="277" customFormat="1" x14ac:dyDescent="0.25">
      <c r="A662" s="8" t="s">
        <v>0</v>
      </c>
      <c r="B662" s="9" t="s">
        <v>401</v>
      </c>
      <c r="C662" s="18" t="s">
        <v>4</v>
      </c>
      <c r="D662" s="17" t="s">
        <v>1260</v>
      </c>
      <c r="E662" s="12" t="s">
        <v>758</v>
      </c>
      <c r="F662" s="13" t="s">
        <v>2</v>
      </c>
      <c r="G662" s="12" t="s">
        <v>461</v>
      </c>
      <c r="H662" s="12" t="s">
        <v>461</v>
      </c>
      <c r="I662" s="160">
        <v>0</v>
      </c>
      <c r="J662" s="15">
        <v>593055555.55000007</v>
      </c>
      <c r="K662" s="25" t="s">
        <v>461</v>
      </c>
      <c r="L662" s="285"/>
    </row>
    <row r="663" spans="1:12" s="277" customFormat="1" x14ac:dyDescent="0.25">
      <c r="A663" s="8" t="s">
        <v>0</v>
      </c>
      <c r="B663" s="39" t="s">
        <v>402</v>
      </c>
      <c r="C663" s="18" t="s">
        <v>5</v>
      </c>
      <c r="D663" s="11"/>
      <c r="E663" s="12" t="s">
        <v>758</v>
      </c>
      <c r="F663" s="8" t="s">
        <v>2</v>
      </c>
      <c r="G663" s="12" t="s">
        <v>461</v>
      </c>
      <c r="H663" s="12" t="s">
        <v>461</v>
      </c>
      <c r="I663" s="160">
        <v>0</v>
      </c>
      <c r="J663" s="15">
        <v>3827111</v>
      </c>
      <c r="K663" s="25">
        <v>41320</v>
      </c>
      <c r="L663" s="285"/>
    </row>
    <row r="664" spans="1:12" s="277" customFormat="1" x14ac:dyDescent="0.25">
      <c r="A664" s="8" t="s">
        <v>0</v>
      </c>
      <c r="B664" s="9" t="s">
        <v>923</v>
      </c>
      <c r="C664" s="18" t="s">
        <v>5</v>
      </c>
      <c r="D664" s="11"/>
      <c r="E664" s="12" t="s">
        <v>758</v>
      </c>
      <c r="F664" s="8" t="s">
        <v>2</v>
      </c>
      <c r="G664" s="12" t="s">
        <v>461</v>
      </c>
      <c r="H664" s="12" t="s">
        <v>461</v>
      </c>
      <c r="I664" s="160">
        <v>0</v>
      </c>
      <c r="J664" s="15">
        <v>277223.5</v>
      </c>
      <c r="K664" s="25">
        <v>41320</v>
      </c>
      <c r="L664" s="285"/>
    </row>
    <row r="665" spans="1:12" s="277" customFormat="1" x14ac:dyDescent="0.25">
      <c r="A665" s="8" t="s">
        <v>0</v>
      </c>
      <c r="B665" s="39" t="s">
        <v>403</v>
      </c>
      <c r="C665" s="18" t="s">
        <v>5</v>
      </c>
      <c r="D665" s="11"/>
      <c r="E665" s="12" t="s">
        <v>758</v>
      </c>
      <c r="F665" s="8" t="s">
        <v>2</v>
      </c>
      <c r="G665" s="12" t="s">
        <v>461</v>
      </c>
      <c r="H665" s="12" t="s">
        <v>461</v>
      </c>
      <c r="I665" s="160">
        <v>0</v>
      </c>
      <c r="J665" s="15">
        <v>195637</v>
      </c>
      <c r="K665" s="25">
        <v>41320</v>
      </c>
      <c r="L665" s="285"/>
    </row>
    <row r="666" spans="1:12" s="285" customFormat="1" ht="15" customHeight="1" x14ac:dyDescent="0.25">
      <c r="A666" s="8" t="s">
        <v>0</v>
      </c>
      <c r="B666" s="39" t="s">
        <v>630</v>
      </c>
      <c r="C666" s="45" t="s">
        <v>560</v>
      </c>
      <c r="D666" s="11"/>
      <c r="E666" s="8" t="s">
        <v>661</v>
      </c>
      <c r="F666" s="30" t="s">
        <v>2</v>
      </c>
      <c r="G666" s="12" t="s">
        <v>461</v>
      </c>
      <c r="H666" s="12" t="s">
        <v>461</v>
      </c>
      <c r="I666" s="160">
        <v>0</v>
      </c>
      <c r="J666" s="15">
        <v>3953275</v>
      </c>
      <c r="K666" s="25">
        <v>41320</v>
      </c>
    </row>
    <row r="667" spans="1:12" s="285" customFormat="1" ht="15" customHeight="1" x14ac:dyDescent="0.25">
      <c r="A667" s="8" t="s">
        <v>0</v>
      </c>
      <c r="B667" s="21" t="s">
        <v>605</v>
      </c>
      <c r="C667" s="44" t="s">
        <v>560</v>
      </c>
      <c r="D667" s="26"/>
      <c r="E667" s="8" t="s">
        <v>661</v>
      </c>
      <c r="F667" s="30" t="s">
        <v>2</v>
      </c>
      <c r="G667" s="12" t="s">
        <v>461</v>
      </c>
      <c r="H667" s="12" t="s">
        <v>461</v>
      </c>
      <c r="I667" s="160">
        <v>0</v>
      </c>
      <c r="J667" s="15">
        <v>276870</v>
      </c>
      <c r="K667" s="25">
        <v>41320</v>
      </c>
    </row>
    <row r="668" spans="1:12" s="277" customFormat="1" x14ac:dyDescent="0.25">
      <c r="A668" s="8" t="s">
        <v>0</v>
      </c>
      <c r="B668" s="39" t="s">
        <v>404</v>
      </c>
      <c r="C668" s="18" t="s">
        <v>5</v>
      </c>
      <c r="D668" s="11"/>
      <c r="E668" s="12" t="s">
        <v>758</v>
      </c>
      <c r="F668" s="8" t="s">
        <v>2</v>
      </c>
      <c r="G668" s="12" t="s">
        <v>461</v>
      </c>
      <c r="H668" s="12" t="s">
        <v>461</v>
      </c>
      <c r="I668" s="160">
        <v>0</v>
      </c>
      <c r="J668" s="15">
        <v>738021</v>
      </c>
      <c r="K668" s="25">
        <v>41320</v>
      </c>
      <c r="L668" s="285"/>
    </row>
    <row r="669" spans="1:12" s="277" customFormat="1" x14ac:dyDescent="0.25">
      <c r="A669" s="8" t="s">
        <v>0</v>
      </c>
      <c r="B669" s="39" t="s">
        <v>405</v>
      </c>
      <c r="C669" s="18" t="s">
        <v>4</v>
      </c>
      <c r="D669" s="11"/>
      <c r="E669" s="12" t="s">
        <v>758</v>
      </c>
      <c r="F669" s="8" t="s">
        <v>2</v>
      </c>
      <c r="G669" s="12" t="s">
        <v>461</v>
      </c>
      <c r="H669" s="12" t="s">
        <v>461</v>
      </c>
      <c r="I669" s="160">
        <v>0</v>
      </c>
      <c r="J669" s="15">
        <v>358971</v>
      </c>
      <c r="K669" s="25">
        <v>41320</v>
      </c>
      <c r="L669" s="285"/>
    </row>
    <row r="670" spans="1:12" s="277" customFormat="1" x14ac:dyDescent="0.25">
      <c r="A670" s="8" t="s">
        <v>0</v>
      </c>
      <c r="B670" s="39" t="s">
        <v>406</v>
      </c>
      <c r="C670" s="18" t="s">
        <v>4</v>
      </c>
      <c r="D670" s="11" t="s">
        <v>1260</v>
      </c>
      <c r="E670" s="12" t="s">
        <v>758</v>
      </c>
      <c r="F670" s="12" t="s">
        <v>2</v>
      </c>
      <c r="G670" s="12" t="s">
        <v>461</v>
      </c>
      <c r="H670" s="12" t="s">
        <v>461</v>
      </c>
      <c r="I670" s="160">
        <v>0</v>
      </c>
      <c r="J670" s="15">
        <v>15712738.340000002</v>
      </c>
      <c r="K670" s="25" t="s">
        <v>461</v>
      </c>
      <c r="L670" s="285"/>
    </row>
    <row r="671" spans="1:12" s="277" customFormat="1" x14ac:dyDescent="0.25">
      <c r="A671" s="8" t="s">
        <v>0</v>
      </c>
      <c r="B671" s="39" t="s">
        <v>407</v>
      </c>
      <c r="C671" s="18" t="s">
        <v>5</v>
      </c>
      <c r="D671" s="11"/>
      <c r="E671" s="12" t="s">
        <v>759</v>
      </c>
      <c r="F671" s="8" t="s">
        <v>2</v>
      </c>
      <c r="G671" s="12" t="s">
        <v>461</v>
      </c>
      <c r="H671" s="12" t="s">
        <v>461</v>
      </c>
      <c r="I671" s="160">
        <v>0</v>
      </c>
      <c r="J671" s="15">
        <v>0</v>
      </c>
      <c r="K671" s="25">
        <v>41320</v>
      </c>
      <c r="L671" s="285"/>
    </row>
    <row r="672" spans="1:12" s="277" customFormat="1" x14ac:dyDescent="0.25">
      <c r="A672" s="281" t="s">
        <v>0</v>
      </c>
      <c r="B672" s="253" t="s">
        <v>408</v>
      </c>
      <c r="C672" s="254" t="s">
        <v>4</v>
      </c>
      <c r="D672" s="280">
        <v>65</v>
      </c>
      <c r="E672" s="278" t="s">
        <v>758</v>
      </c>
      <c r="F672" s="12" t="s">
        <v>2</v>
      </c>
      <c r="G672" s="12" t="s">
        <v>461</v>
      </c>
      <c r="H672" s="12" t="s">
        <v>461</v>
      </c>
      <c r="I672" s="160">
        <v>0</v>
      </c>
      <c r="J672" s="15">
        <v>1079960.44</v>
      </c>
      <c r="K672" s="258" t="s">
        <v>461</v>
      </c>
      <c r="L672" s="285"/>
    </row>
    <row r="673" spans="1:12" s="277" customFormat="1" x14ac:dyDescent="0.25">
      <c r="A673" s="8" t="s">
        <v>0</v>
      </c>
      <c r="B673" s="39" t="s">
        <v>409</v>
      </c>
      <c r="C673" s="18" t="s">
        <v>4</v>
      </c>
      <c r="D673" s="11" t="s">
        <v>1260</v>
      </c>
      <c r="E673" s="12" t="s">
        <v>758</v>
      </c>
      <c r="F673" s="12" t="s">
        <v>2</v>
      </c>
      <c r="G673" s="12" t="s">
        <v>461</v>
      </c>
      <c r="H673" s="12" t="s">
        <v>461</v>
      </c>
      <c r="I673" s="160">
        <v>0</v>
      </c>
      <c r="J673" s="15">
        <v>7593868.3300000001</v>
      </c>
      <c r="K673" s="25" t="s">
        <v>461</v>
      </c>
      <c r="L673" s="285"/>
    </row>
    <row r="674" spans="1:12" s="277" customFormat="1" x14ac:dyDescent="0.25">
      <c r="A674" s="8" t="s">
        <v>0</v>
      </c>
      <c r="B674" s="39" t="s">
        <v>410</v>
      </c>
      <c r="C674" s="18" t="s">
        <v>5</v>
      </c>
      <c r="D674" s="11"/>
      <c r="E674" s="12" t="s">
        <v>759</v>
      </c>
      <c r="F674" s="8" t="s">
        <v>2</v>
      </c>
      <c r="G674" s="12" t="s">
        <v>461</v>
      </c>
      <c r="H674" s="12" t="s">
        <v>461</v>
      </c>
      <c r="I674" s="160">
        <v>0</v>
      </c>
      <c r="J674" s="15">
        <v>158928.06</v>
      </c>
      <c r="K674" s="25">
        <v>41320</v>
      </c>
      <c r="L674" s="285"/>
    </row>
    <row r="675" spans="1:12" s="277" customFormat="1" x14ac:dyDescent="0.25">
      <c r="A675" s="8" t="s">
        <v>0</v>
      </c>
      <c r="B675" s="39" t="s">
        <v>411</v>
      </c>
      <c r="C675" s="18" t="s">
        <v>4</v>
      </c>
      <c r="D675" s="11">
        <v>72</v>
      </c>
      <c r="E675" s="12" t="s">
        <v>758</v>
      </c>
      <c r="F675" s="12" t="s">
        <v>2</v>
      </c>
      <c r="G675" s="12" t="s">
        <v>461</v>
      </c>
      <c r="H675" s="12" t="s">
        <v>461</v>
      </c>
      <c r="I675" s="160">
        <v>0</v>
      </c>
      <c r="J675" s="15">
        <v>331111.11</v>
      </c>
      <c r="K675" s="25" t="s">
        <v>461</v>
      </c>
      <c r="L675" s="285"/>
    </row>
    <row r="676" spans="1:12" s="277" customFormat="1" x14ac:dyDescent="0.25">
      <c r="A676" s="8" t="s">
        <v>0</v>
      </c>
      <c r="B676" s="39" t="s">
        <v>412</v>
      </c>
      <c r="C676" s="18" t="s">
        <v>5</v>
      </c>
      <c r="D676" s="11">
        <v>65</v>
      </c>
      <c r="E676" s="12" t="s">
        <v>758</v>
      </c>
      <c r="F676" s="12" t="s">
        <v>2</v>
      </c>
      <c r="G676" s="12" t="s">
        <v>461</v>
      </c>
      <c r="H676" s="12" t="s">
        <v>461</v>
      </c>
      <c r="I676" s="160">
        <v>0</v>
      </c>
      <c r="J676" s="15">
        <v>517144.78</v>
      </c>
      <c r="K676" s="25" t="s">
        <v>461</v>
      </c>
      <c r="L676" s="285"/>
    </row>
    <row r="677" spans="1:12" s="277" customFormat="1" x14ac:dyDescent="0.25">
      <c r="A677" s="8" t="s">
        <v>0</v>
      </c>
      <c r="B677" s="39" t="s">
        <v>413</v>
      </c>
      <c r="C677" s="18" t="s">
        <v>4</v>
      </c>
      <c r="D677" s="11" t="s">
        <v>1260</v>
      </c>
      <c r="E677" s="12" t="s">
        <v>758</v>
      </c>
      <c r="F677" s="12" t="s">
        <v>2</v>
      </c>
      <c r="G677" s="12" t="s">
        <v>461</v>
      </c>
      <c r="H677" s="12" t="s">
        <v>461</v>
      </c>
      <c r="I677" s="160">
        <v>0</v>
      </c>
      <c r="J677" s="15">
        <v>1115638.8400000001</v>
      </c>
      <c r="K677" s="13" t="s">
        <v>461</v>
      </c>
      <c r="L677" s="285"/>
    </row>
    <row r="678" spans="1:12" s="277" customFormat="1" x14ac:dyDescent="0.25">
      <c r="A678" s="8" t="s">
        <v>0</v>
      </c>
      <c r="B678" s="39" t="s">
        <v>414</v>
      </c>
      <c r="C678" s="18" t="s">
        <v>4</v>
      </c>
      <c r="D678" s="11">
        <v>80</v>
      </c>
      <c r="E678" s="12" t="s">
        <v>758</v>
      </c>
      <c r="F678" s="12" t="s">
        <v>2</v>
      </c>
      <c r="G678" s="12" t="s">
        <v>461</v>
      </c>
      <c r="H678" s="12" t="s">
        <v>461</v>
      </c>
      <c r="I678" s="160">
        <v>0</v>
      </c>
      <c r="J678" s="15">
        <v>8585770.379999999</v>
      </c>
      <c r="K678" s="25" t="s">
        <v>461</v>
      </c>
      <c r="L678" s="285"/>
    </row>
    <row r="679" spans="1:12" s="277" customFormat="1" x14ac:dyDescent="0.25">
      <c r="A679" s="8" t="s">
        <v>0</v>
      </c>
      <c r="B679" s="39" t="s">
        <v>415</v>
      </c>
      <c r="C679" s="18" t="s">
        <v>5</v>
      </c>
      <c r="D679" s="11">
        <v>65</v>
      </c>
      <c r="E679" s="12" t="s">
        <v>759</v>
      </c>
      <c r="F679" s="12" t="s">
        <v>2</v>
      </c>
      <c r="G679" s="12" t="s">
        <v>461</v>
      </c>
      <c r="H679" s="12" t="s">
        <v>461</v>
      </c>
      <c r="I679" s="160">
        <v>0</v>
      </c>
      <c r="J679" s="15">
        <v>263780</v>
      </c>
      <c r="K679" s="25" t="s">
        <v>461</v>
      </c>
      <c r="L679" s="285"/>
    </row>
    <row r="680" spans="1:12" s="277" customFormat="1" x14ac:dyDescent="0.25">
      <c r="A680" s="8" t="s">
        <v>0</v>
      </c>
      <c r="B680" s="39" t="s">
        <v>416</v>
      </c>
      <c r="C680" s="18" t="s">
        <v>5</v>
      </c>
      <c r="D680" s="11">
        <v>92</v>
      </c>
      <c r="E680" s="12" t="s">
        <v>758</v>
      </c>
      <c r="F680" s="8" t="s">
        <v>2</v>
      </c>
      <c r="G680" s="12" t="s">
        <v>461</v>
      </c>
      <c r="H680" s="13" t="s">
        <v>461</v>
      </c>
      <c r="I680" s="160">
        <v>0</v>
      </c>
      <c r="J680" s="15">
        <v>449072.72</v>
      </c>
      <c r="K680" s="25" t="s">
        <v>461</v>
      </c>
      <c r="L680" s="285"/>
    </row>
    <row r="681" spans="1:12" s="277" customFormat="1" x14ac:dyDescent="0.25">
      <c r="A681" s="8" t="s">
        <v>0</v>
      </c>
      <c r="B681" s="39" t="s">
        <v>417</v>
      </c>
      <c r="C681" s="18" t="s">
        <v>5</v>
      </c>
      <c r="D681" s="11">
        <v>65</v>
      </c>
      <c r="E681" s="12" t="s">
        <v>758</v>
      </c>
      <c r="F681" s="12" t="s">
        <v>2</v>
      </c>
      <c r="G681" s="12" t="s">
        <v>461</v>
      </c>
      <c r="H681" s="12" t="s">
        <v>461</v>
      </c>
      <c r="I681" s="160">
        <v>0</v>
      </c>
      <c r="J681" s="15">
        <v>795017.86</v>
      </c>
      <c r="K681" s="25" t="s">
        <v>461</v>
      </c>
      <c r="L681" s="285"/>
    </row>
    <row r="682" spans="1:12" s="277" customFormat="1" x14ac:dyDescent="0.25">
      <c r="A682" s="8" t="s">
        <v>0</v>
      </c>
      <c r="B682" s="39" t="s">
        <v>418</v>
      </c>
      <c r="C682" s="18" t="s">
        <v>5</v>
      </c>
      <c r="D682" s="11">
        <v>65</v>
      </c>
      <c r="E682" s="12" t="s">
        <v>758</v>
      </c>
      <c r="F682" s="12" t="s">
        <v>2</v>
      </c>
      <c r="G682" s="12" t="s">
        <v>461</v>
      </c>
      <c r="H682" s="12" t="s">
        <v>461</v>
      </c>
      <c r="I682" s="160">
        <v>0</v>
      </c>
      <c r="J682" s="15">
        <v>996698.33</v>
      </c>
      <c r="K682" s="25" t="s">
        <v>461</v>
      </c>
      <c r="L682" s="285"/>
    </row>
    <row r="683" spans="1:12" s="277" customFormat="1" x14ac:dyDescent="0.25">
      <c r="A683" s="8" t="s">
        <v>0</v>
      </c>
      <c r="B683" s="39" t="s">
        <v>620</v>
      </c>
      <c r="C683" s="45" t="s">
        <v>561</v>
      </c>
      <c r="D683" s="11">
        <v>42</v>
      </c>
      <c r="E683" s="12" t="s">
        <v>758</v>
      </c>
      <c r="F683" s="12" t="s">
        <v>2</v>
      </c>
      <c r="G683" s="12" t="s">
        <v>461</v>
      </c>
      <c r="H683" s="12" t="s">
        <v>461</v>
      </c>
      <c r="I683" s="160">
        <v>0</v>
      </c>
      <c r="J683" s="15">
        <v>1153111</v>
      </c>
      <c r="K683" s="25" t="s">
        <v>461</v>
      </c>
      <c r="L683" s="285"/>
    </row>
    <row r="684" spans="1:12" s="277" customFormat="1" x14ac:dyDescent="0.25">
      <c r="A684" s="8" t="s">
        <v>0</v>
      </c>
      <c r="B684" s="9" t="s">
        <v>812</v>
      </c>
      <c r="C684" s="18" t="s">
        <v>4</v>
      </c>
      <c r="D684" s="11">
        <v>42</v>
      </c>
      <c r="E684" s="12" t="s">
        <v>758</v>
      </c>
      <c r="F684" s="12" t="s">
        <v>2</v>
      </c>
      <c r="G684" s="12" t="s">
        <v>461</v>
      </c>
      <c r="H684" s="12" t="s">
        <v>461</v>
      </c>
      <c r="I684" s="160">
        <v>0</v>
      </c>
      <c r="J684" s="15">
        <v>1600000</v>
      </c>
      <c r="K684" s="25" t="s">
        <v>461</v>
      </c>
      <c r="L684" s="285"/>
    </row>
    <row r="685" spans="1:12" s="277" customFormat="1" x14ac:dyDescent="0.25">
      <c r="A685" s="8" t="s">
        <v>0</v>
      </c>
      <c r="B685" s="39" t="s">
        <v>419</v>
      </c>
      <c r="C685" s="18" t="s">
        <v>5</v>
      </c>
      <c r="D685" s="11">
        <v>65</v>
      </c>
      <c r="E685" s="12" t="s">
        <v>758</v>
      </c>
      <c r="F685" s="12" t="s">
        <v>2</v>
      </c>
      <c r="G685" s="12" t="s">
        <v>461</v>
      </c>
      <c r="H685" s="12" t="s">
        <v>461</v>
      </c>
      <c r="I685" s="160">
        <v>0</v>
      </c>
      <c r="J685" s="15">
        <v>1763679.86</v>
      </c>
      <c r="K685" s="25" t="s">
        <v>461</v>
      </c>
      <c r="L685" s="285"/>
    </row>
    <row r="686" spans="1:12" s="285" customFormat="1" ht="15" customHeight="1" x14ac:dyDescent="0.25">
      <c r="A686" s="8" t="s">
        <v>0</v>
      </c>
      <c r="B686" s="253" t="s">
        <v>606</v>
      </c>
      <c r="C686" s="252" t="s">
        <v>560</v>
      </c>
      <c r="D686" s="26"/>
      <c r="E686" s="8" t="s">
        <v>661</v>
      </c>
      <c r="F686" s="30" t="s">
        <v>2</v>
      </c>
      <c r="G686" s="12" t="s">
        <v>461</v>
      </c>
      <c r="H686" s="12" t="s">
        <v>461</v>
      </c>
      <c r="I686" s="160">
        <v>0</v>
      </c>
      <c r="J686" s="15">
        <v>1414005.16</v>
      </c>
      <c r="K686" s="25">
        <v>41320</v>
      </c>
    </row>
    <row r="687" spans="1:12" s="277" customFormat="1" x14ac:dyDescent="0.25">
      <c r="A687" s="8" t="s">
        <v>0</v>
      </c>
      <c r="B687" s="39" t="s">
        <v>420</v>
      </c>
      <c r="C687" s="18" t="s">
        <v>4</v>
      </c>
      <c r="D687" s="11"/>
      <c r="E687" s="12" t="s">
        <v>758</v>
      </c>
      <c r="F687" s="8" t="s">
        <v>2</v>
      </c>
      <c r="G687" s="12" t="s">
        <v>461</v>
      </c>
      <c r="H687" s="12" t="s">
        <v>461</v>
      </c>
      <c r="I687" s="160">
        <v>0</v>
      </c>
      <c r="J687" s="15">
        <v>3781868.83</v>
      </c>
      <c r="K687" s="25">
        <v>41320</v>
      </c>
      <c r="L687" s="285"/>
    </row>
    <row r="688" spans="1:12" s="277" customFormat="1" x14ac:dyDescent="0.25">
      <c r="A688" s="8" t="s">
        <v>0</v>
      </c>
      <c r="B688" s="39" t="s">
        <v>421</v>
      </c>
      <c r="C688" s="18" t="s">
        <v>4</v>
      </c>
      <c r="D688" s="11" t="s">
        <v>1260</v>
      </c>
      <c r="E688" s="12" t="s">
        <v>758</v>
      </c>
      <c r="F688" s="12" t="s">
        <v>2</v>
      </c>
      <c r="G688" s="12" t="s">
        <v>461</v>
      </c>
      <c r="H688" s="12" t="s">
        <v>461</v>
      </c>
      <c r="I688" s="160">
        <v>0</v>
      </c>
      <c r="J688" s="15">
        <v>333333.33</v>
      </c>
      <c r="K688" s="13" t="s">
        <v>461</v>
      </c>
      <c r="L688" s="285"/>
    </row>
    <row r="689" spans="1:12" s="285" customFormat="1" ht="15" customHeight="1" x14ac:dyDescent="0.25">
      <c r="A689" s="8" t="s">
        <v>0</v>
      </c>
      <c r="B689" s="39" t="s">
        <v>640</v>
      </c>
      <c r="C689" s="45" t="s">
        <v>560</v>
      </c>
      <c r="D689" s="11" t="s">
        <v>1260</v>
      </c>
      <c r="E689" s="8" t="s">
        <v>661</v>
      </c>
      <c r="F689" s="30" t="s">
        <v>2</v>
      </c>
      <c r="G689" s="12" t="s">
        <v>461</v>
      </c>
      <c r="H689" s="12" t="s">
        <v>461</v>
      </c>
      <c r="I689" s="160">
        <v>0</v>
      </c>
      <c r="J689" s="15">
        <v>209587.59</v>
      </c>
      <c r="K689" s="25" t="s">
        <v>461</v>
      </c>
    </row>
    <row r="690" spans="1:12" s="277" customFormat="1" x14ac:dyDescent="0.25">
      <c r="A690" s="8" t="s">
        <v>0</v>
      </c>
      <c r="B690" s="39" t="s">
        <v>422</v>
      </c>
      <c r="C690" s="18" t="s">
        <v>4</v>
      </c>
      <c r="D690" s="11" t="s">
        <v>1260</v>
      </c>
      <c r="E690" s="12" t="s">
        <v>759</v>
      </c>
      <c r="F690" s="12" t="s">
        <v>2</v>
      </c>
      <c r="G690" s="12" t="s">
        <v>461</v>
      </c>
      <c r="H690" s="12" t="s">
        <v>461</v>
      </c>
      <c r="I690" s="160">
        <v>0</v>
      </c>
      <c r="J690" s="15">
        <v>1816666.67</v>
      </c>
      <c r="K690" s="13" t="s">
        <v>461</v>
      </c>
      <c r="L690" s="285"/>
    </row>
    <row r="691" spans="1:12" s="277" customFormat="1" x14ac:dyDescent="0.25">
      <c r="A691" s="8" t="s">
        <v>0</v>
      </c>
      <c r="B691" s="39" t="s">
        <v>423</v>
      </c>
      <c r="C691" s="18" t="s">
        <v>4</v>
      </c>
      <c r="D691" s="11" t="s">
        <v>1260</v>
      </c>
      <c r="E691" s="12" t="s">
        <v>758</v>
      </c>
      <c r="F691" s="12" t="s">
        <v>2</v>
      </c>
      <c r="G691" s="12" t="s">
        <v>461</v>
      </c>
      <c r="H691" s="12" t="s">
        <v>461</v>
      </c>
      <c r="I691" s="160">
        <v>0</v>
      </c>
      <c r="J691" s="15">
        <v>127685.55</v>
      </c>
      <c r="K691" s="13" t="s">
        <v>461</v>
      </c>
      <c r="L691" s="285"/>
    </row>
    <row r="692" spans="1:12" s="277" customFormat="1" x14ac:dyDescent="0.25">
      <c r="A692" s="8" t="s">
        <v>0</v>
      </c>
      <c r="B692" s="39" t="s">
        <v>424</v>
      </c>
      <c r="C692" s="18" t="s">
        <v>5</v>
      </c>
      <c r="D692" s="17" t="s">
        <v>915</v>
      </c>
      <c r="E692" s="12" t="s">
        <v>758</v>
      </c>
      <c r="F692" s="12" t="s">
        <v>2</v>
      </c>
      <c r="G692" s="12" t="s">
        <v>461</v>
      </c>
      <c r="H692" s="12" t="s">
        <v>461</v>
      </c>
      <c r="I692" s="160">
        <v>0</v>
      </c>
      <c r="J692" s="15">
        <v>347164</v>
      </c>
      <c r="K692" s="25" t="s">
        <v>461</v>
      </c>
      <c r="L692" s="285"/>
    </row>
    <row r="693" spans="1:12" s="277" customFormat="1" x14ac:dyDescent="0.25">
      <c r="A693" s="281" t="s">
        <v>0</v>
      </c>
      <c r="B693" s="253" t="s">
        <v>425</v>
      </c>
      <c r="C693" s="254" t="s">
        <v>5</v>
      </c>
      <c r="D693" s="280">
        <v>92</v>
      </c>
      <c r="E693" s="278" t="s">
        <v>759</v>
      </c>
      <c r="F693" s="281" t="s">
        <v>2</v>
      </c>
      <c r="G693" s="12" t="s">
        <v>461</v>
      </c>
      <c r="H693" s="12" t="s">
        <v>461</v>
      </c>
      <c r="I693" s="160">
        <v>0</v>
      </c>
      <c r="J693" s="15">
        <v>643399.4</v>
      </c>
      <c r="K693" s="258" t="s">
        <v>461</v>
      </c>
      <c r="L693" s="285"/>
    </row>
    <row r="694" spans="1:12" s="277" customFormat="1" x14ac:dyDescent="0.25">
      <c r="A694" s="8" t="s">
        <v>0</v>
      </c>
      <c r="B694" s="9" t="s">
        <v>653</v>
      </c>
      <c r="C694" s="18" t="s">
        <v>5</v>
      </c>
      <c r="D694" s="11"/>
      <c r="E694" s="12" t="s">
        <v>758</v>
      </c>
      <c r="F694" s="8" t="s">
        <v>2</v>
      </c>
      <c r="G694" s="12" t="s">
        <v>461</v>
      </c>
      <c r="H694" s="12" t="s">
        <v>461</v>
      </c>
      <c r="I694" s="160">
        <v>0</v>
      </c>
      <c r="J694" s="15">
        <v>933494.05</v>
      </c>
      <c r="K694" s="25">
        <v>41320</v>
      </c>
      <c r="L694" s="285"/>
    </row>
    <row r="695" spans="1:12" s="277" customFormat="1" x14ac:dyDescent="0.25">
      <c r="A695" s="8" t="s">
        <v>0</v>
      </c>
      <c r="B695" s="39" t="s">
        <v>426</v>
      </c>
      <c r="C695" s="18" t="s">
        <v>83</v>
      </c>
      <c r="D695" s="11">
        <v>42</v>
      </c>
      <c r="E695" s="12" t="s">
        <v>759</v>
      </c>
      <c r="F695" s="13" t="s">
        <v>2</v>
      </c>
      <c r="G695" s="12" t="s">
        <v>461</v>
      </c>
      <c r="H695" s="12" t="s">
        <v>461</v>
      </c>
      <c r="I695" s="160">
        <v>0</v>
      </c>
      <c r="J695" s="15">
        <v>855555.56</v>
      </c>
      <c r="K695" s="25" t="s">
        <v>461</v>
      </c>
      <c r="L695" s="285"/>
    </row>
    <row r="696" spans="1:12" s="277" customFormat="1" x14ac:dyDescent="0.25">
      <c r="A696" s="8" t="s">
        <v>0</v>
      </c>
      <c r="B696" s="39" t="s">
        <v>427</v>
      </c>
      <c r="C696" s="18" t="s">
        <v>4</v>
      </c>
      <c r="D696" s="11" t="s">
        <v>1260</v>
      </c>
      <c r="E696" s="12" t="s">
        <v>758</v>
      </c>
      <c r="F696" s="8" t="s">
        <v>2</v>
      </c>
      <c r="G696" s="12" t="s">
        <v>461</v>
      </c>
      <c r="H696" s="12" t="s">
        <v>461</v>
      </c>
      <c r="I696" s="160">
        <v>0</v>
      </c>
      <c r="J696" s="15">
        <v>8338046.1400000006</v>
      </c>
      <c r="K696" s="25" t="s">
        <v>461</v>
      </c>
      <c r="L696" s="285"/>
    </row>
    <row r="697" spans="1:12" s="277" customFormat="1" x14ac:dyDescent="0.25">
      <c r="A697" s="8" t="s">
        <v>0</v>
      </c>
      <c r="B697" s="39" t="s">
        <v>428</v>
      </c>
      <c r="C697" s="18" t="s">
        <v>4</v>
      </c>
      <c r="D697" s="11">
        <v>80</v>
      </c>
      <c r="E697" s="12" t="s">
        <v>758</v>
      </c>
      <c r="F697" s="12" t="s">
        <v>2</v>
      </c>
      <c r="G697" s="12" t="s">
        <v>461</v>
      </c>
      <c r="H697" s="12" t="s">
        <v>461</v>
      </c>
      <c r="I697" s="160">
        <v>0</v>
      </c>
      <c r="J697" s="15">
        <v>2897640.33</v>
      </c>
      <c r="K697" s="25" t="s">
        <v>461</v>
      </c>
      <c r="L697" s="285"/>
    </row>
    <row r="698" spans="1:12" s="277" customFormat="1" x14ac:dyDescent="0.25">
      <c r="A698" s="8" t="s">
        <v>0</v>
      </c>
      <c r="B698" s="32" t="s">
        <v>588</v>
      </c>
      <c r="C698" s="18" t="s">
        <v>561</v>
      </c>
      <c r="D698" s="11">
        <v>66</v>
      </c>
      <c r="E698" s="12" t="s">
        <v>758</v>
      </c>
      <c r="F698" s="12" t="s">
        <v>2</v>
      </c>
      <c r="G698" s="12" t="s">
        <v>461</v>
      </c>
      <c r="H698" s="12" t="s">
        <v>461</v>
      </c>
      <c r="I698" s="160">
        <v>0</v>
      </c>
      <c r="J698" s="15">
        <v>613111.14</v>
      </c>
      <c r="K698" s="25" t="s">
        <v>461</v>
      </c>
      <c r="L698" s="285"/>
    </row>
    <row r="699" spans="1:12" s="277" customFormat="1" x14ac:dyDescent="0.25">
      <c r="A699" s="281" t="s">
        <v>0</v>
      </c>
      <c r="B699" s="253" t="s">
        <v>429</v>
      </c>
      <c r="C699" s="254" t="s">
        <v>5</v>
      </c>
      <c r="D699" s="280">
        <v>65</v>
      </c>
      <c r="E699" s="278" t="s">
        <v>758</v>
      </c>
      <c r="F699" s="12" t="s">
        <v>2</v>
      </c>
      <c r="G699" s="12" t="s">
        <v>461</v>
      </c>
      <c r="H699" s="12" t="s">
        <v>461</v>
      </c>
      <c r="I699" s="160">
        <v>0</v>
      </c>
      <c r="J699" s="15">
        <v>705472.22</v>
      </c>
      <c r="K699" s="258" t="s">
        <v>461</v>
      </c>
      <c r="L699" s="285"/>
    </row>
    <row r="700" spans="1:12" s="277" customFormat="1" x14ac:dyDescent="0.25">
      <c r="A700" s="8" t="s">
        <v>0</v>
      </c>
      <c r="B700" s="39" t="s">
        <v>430</v>
      </c>
      <c r="C700" s="18" t="s">
        <v>4</v>
      </c>
      <c r="D700" s="11">
        <v>65</v>
      </c>
      <c r="E700" s="12" t="s">
        <v>758</v>
      </c>
      <c r="F700" s="12" t="s">
        <v>2</v>
      </c>
      <c r="G700" s="12" t="s">
        <v>461</v>
      </c>
      <c r="H700" s="12" t="s">
        <v>461</v>
      </c>
      <c r="I700" s="160">
        <v>0</v>
      </c>
      <c r="J700" s="15">
        <v>1254763.8899999999</v>
      </c>
      <c r="K700" s="25" t="s">
        <v>461</v>
      </c>
      <c r="L700" s="285"/>
    </row>
    <row r="701" spans="1:12" s="277" customFormat="1" x14ac:dyDescent="0.25">
      <c r="A701" s="8" t="s">
        <v>0</v>
      </c>
      <c r="B701" s="39" t="s">
        <v>613</v>
      </c>
      <c r="C701" s="45" t="s">
        <v>561</v>
      </c>
      <c r="D701" s="11"/>
      <c r="E701" s="12" t="s">
        <v>758</v>
      </c>
      <c r="F701" s="8" t="s">
        <v>2</v>
      </c>
      <c r="G701" s="12" t="s">
        <v>461</v>
      </c>
      <c r="H701" s="12" t="s">
        <v>461</v>
      </c>
      <c r="I701" s="160">
        <v>0</v>
      </c>
      <c r="J701" s="15">
        <v>364796.33999999997</v>
      </c>
      <c r="K701" s="25">
        <v>41320</v>
      </c>
      <c r="L701" s="285"/>
    </row>
    <row r="702" spans="1:12" s="277" customFormat="1" x14ac:dyDescent="0.25">
      <c r="A702" s="8" t="s">
        <v>0</v>
      </c>
      <c r="B702" s="39" t="s">
        <v>431</v>
      </c>
      <c r="C702" s="18" t="s">
        <v>4</v>
      </c>
      <c r="D702" s="17" t="s">
        <v>1260</v>
      </c>
      <c r="E702" s="12" t="s">
        <v>758</v>
      </c>
      <c r="F702" s="8" t="s">
        <v>2</v>
      </c>
      <c r="G702" s="12" t="s">
        <v>461</v>
      </c>
      <c r="H702" s="12" t="s">
        <v>461</v>
      </c>
      <c r="I702" s="160">
        <v>0</v>
      </c>
      <c r="J702" s="15">
        <v>12960372.91</v>
      </c>
      <c r="K702" s="25" t="s">
        <v>461</v>
      </c>
      <c r="L702" s="285"/>
    </row>
    <row r="703" spans="1:12" s="277" customFormat="1" x14ac:dyDescent="0.25">
      <c r="A703" s="8" t="s">
        <v>0</v>
      </c>
      <c r="B703" s="39" t="s">
        <v>432</v>
      </c>
      <c r="C703" s="18" t="s">
        <v>5</v>
      </c>
      <c r="D703" s="11">
        <v>65</v>
      </c>
      <c r="E703" s="12" t="s">
        <v>758</v>
      </c>
      <c r="F703" s="12" t="s">
        <v>2</v>
      </c>
      <c r="G703" s="12" t="s">
        <v>461</v>
      </c>
      <c r="H703" s="12" t="s">
        <v>461</v>
      </c>
      <c r="I703" s="160">
        <v>0</v>
      </c>
      <c r="J703" s="15">
        <v>2506668.61</v>
      </c>
      <c r="K703" s="25" t="s">
        <v>461</v>
      </c>
      <c r="L703" s="285"/>
    </row>
    <row r="704" spans="1:12" s="277" customFormat="1" x14ac:dyDescent="0.25">
      <c r="A704" s="8" t="s">
        <v>0</v>
      </c>
      <c r="B704" s="39" t="s">
        <v>433</v>
      </c>
      <c r="C704" s="18" t="s">
        <v>5</v>
      </c>
      <c r="D704" s="11"/>
      <c r="E704" s="12" t="s">
        <v>758</v>
      </c>
      <c r="F704" s="8" t="s">
        <v>2</v>
      </c>
      <c r="G704" s="12" t="s">
        <v>461</v>
      </c>
      <c r="H704" s="12" t="s">
        <v>461</v>
      </c>
      <c r="I704" s="160">
        <v>0</v>
      </c>
      <c r="J704" s="15">
        <v>2261750</v>
      </c>
      <c r="K704" s="25">
        <v>41320</v>
      </c>
      <c r="L704" s="285"/>
    </row>
    <row r="705" spans="1:12" s="277" customFormat="1" x14ac:dyDescent="0.25">
      <c r="A705" s="8" t="s">
        <v>0</v>
      </c>
      <c r="B705" s="39" t="s">
        <v>434</v>
      </c>
      <c r="C705" s="18" t="s">
        <v>5</v>
      </c>
      <c r="D705" s="11"/>
      <c r="E705" s="12" t="s">
        <v>758</v>
      </c>
      <c r="F705" s="8" t="s">
        <v>2</v>
      </c>
      <c r="G705" s="12" t="s">
        <v>461</v>
      </c>
      <c r="H705" s="12" t="s">
        <v>461</v>
      </c>
      <c r="I705" s="160">
        <v>0</v>
      </c>
      <c r="J705" s="15">
        <v>600408</v>
      </c>
      <c r="K705" s="25">
        <v>41320</v>
      </c>
      <c r="L705" s="285"/>
    </row>
    <row r="706" spans="1:12" s="277" customFormat="1" x14ac:dyDescent="0.25">
      <c r="A706" s="8" t="s">
        <v>0</v>
      </c>
      <c r="B706" s="39" t="s">
        <v>435</v>
      </c>
      <c r="C706" s="18" t="s">
        <v>5</v>
      </c>
      <c r="D706" s="11"/>
      <c r="E706" s="12" t="s">
        <v>758</v>
      </c>
      <c r="F706" s="8" t="s">
        <v>2</v>
      </c>
      <c r="G706" s="12" t="s">
        <v>461</v>
      </c>
      <c r="H706" s="12" t="s">
        <v>461</v>
      </c>
      <c r="I706" s="160">
        <v>0</v>
      </c>
      <c r="J706" s="15">
        <v>6730750</v>
      </c>
      <c r="K706" s="25">
        <v>41320</v>
      </c>
      <c r="L706" s="285"/>
    </row>
    <row r="707" spans="1:12" s="277" customFormat="1" x14ac:dyDescent="0.25">
      <c r="A707" s="8" t="s">
        <v>0</v>
      </c>
      <c r="B707" s="39" t="s">
        <v>436</v>
      </c>
      <c r="C707" s="18" t="s">
        <v>4</v>
      </c>
      <c r="D707" s="11" t="s">
        <v>1260</v>
      </c>
      <c r="E707" s="12" t="s">
        <v>758</v>
      </c>
      <c r="F707" s="12" t="s">
        <v>2</v>
      </c>
      <c r="G707" s="12" t="s">
        <v>461</v>
      </c>
      <c r="H707" s="12" t="s">
        <v>461</v>
      </c>
      <c r="I707" s="160">
        <v>0</v>
      </c>
      <c r="J707" s="15">
        <v>5572352.4999999991</v>
      </c>
      <c r="K707" s="25" t="s">
        <v>461</v>
      </c>
      <c r="L707" s="285"/>
    </row>
    <row r="708" spans="1:12" s="277" customFormat="1" x14ac:dyDescent="0.25">
      <c r="A708" s="8" t="s">
        <v>0</v>
      </c>
      <c r="B708" s="39" t="s">
        <v>437</v>
      </c>
      <c r="C708" s="18" t="s">
        <v>5</v>
      </c>
      <c r="D708" s="11" t="s">
        <v>1260</v>
      </c>
      <c r="E708" s="12" t="s">
        <v>758</v>
      </c>
      <c r="F708" s="12" t="s">
        <v>2</v>
      </c>
      <c r="G708" s="12" t="s">
        <v>461</v>
      </c>
      <c r="H708" s="12" t="s">
        <v>461</v>
      </c>
      <c r="I708" s="160">
        <v>0</v>
      </c>
      <c r="J708" s="15">
        <v>5508472.2300000004</v>
      </c>
      <c r="K708" s="25" t="s">
        <v>461</v>
      </c>
      <c r="L708" s="285"/>
    </row>
    <row r="709" spans="1:12" s="277" customFormat="1" x14ac:dyDescent="0.25">
      <c r="A709" s="8" t="s">
        <v>0</v>
      </c>
      <c r="B709" s="39" t="s">
        <v>438</v>
      </c>
      <c r="C709" s="18" t="s">
        <v>5</v>
      </c>
      <c r="D709" s="11">
        <v>42</v>
      </c>
      <c r="E709" s="12" t="s">
        <v>758</v>
      </c>
      <c r="F709" s="12" t="s">
        <v>2</v>
      </c>
      <c r="G709" s="12" t="s">
        <v>461</v>
      </c>
      <c r="H709" s="12" t="s">
        <v>461</v>
      </c>
      <c r="I709" s="160">
        <v>0</v>
      </c>
      <c r="J709" s="15">
        <v>1330708.6666666667</v>
      </c>
      <c r="K709" s="25" t="s">
        <v>461</v>
      </c>
      <c r="L709" s="285"/>
    </row>
    <row r="710" spans="1:12" s="277" customFormat="1" x14ac:dyDescent="0.25">
      <c r="A710" s="8" t="s">
        <v>0</v>
      </c>
      <c r="B710" s="39" t="s">
        <v>439</v>
      </c>
      <c r="C710" s="18" t="s">
        <v>4</v>
      </c>
      <c r="D710" s="11">
        <v>3</v>
      </c>
      <c r="E710" s="12" t="s">
        <v>758</v>
      </c>
      <c r="F710" s="12" t="s">
        <v>2</v>
      </c>
      <c r="G710" s="12" t="s">
        <v>461</v>
      </c>
      <c r="H710" s="12" t="s">
        <v>461</v>
      </c>
      <c r="I710" s="160">
        <v>0</v>
      </c>
      <c r="J710" s="15">
        <v>63611111.120000005</v>
      </c>
      <c r="K710" s="13" t="s">
        <v>461</v>
      </c>
      <c r="L710" s="285"/>
    </row>
    <row r="711" spans="1:12" s="285" customFormat="1" ht="15" customHeight="1" x14ac:dyDescent="0.25">
      <c r="A711" s="8" t="s">
        <v>0</v>
      </c>
      <c r="B711" s="39" t="s">
        <v>639</v>
      </c>
      <c r="C711" s="45" t="s">
        <v>560</v>
      </c>
      <c r="D711" s="11" t="s">
        <v>1260</v>
      </c>
      <c r="E711" s="8" t="s">
        <v>661</v>
      </c>
      <c r="F711" s="30" t="s">
        <v>2</v>
      </c>
      <c r="G711" s="12" t="s">
        <v>461</v>
      </c>
      <c r="H711" s="12" t="s">
        <v>461</v>
      </c>
      <c r="I711" s="160">
        <v>0</v>
      </c>
      <c r="J711" s="15">
        <v>5350442.29</v>
      </c>
      <c r="K711" s="25" t="s">
        <v>461</v>
      </c>
    </row>
    <row r="712" spans="1:12" s="285" customFormat="1" ht="15" customHeight="1" x14ac:dyDescent="0.25">
      <c r="A712" s="8" t="s">
        <v>0</v>
      </c>
      <c r="B712" s="39" t="s">
        <v>691</v>
      </c>
      <c r="C712" s="47" t="s">
        <v>560</v>
      </c>
      <c r="D712" s="11">
        <v>66</v>
      </c>
      <c r="E712" s="8" t="s">
        <v>661</v>
      </c>
      <c r="F712" s="12" t="s">
        <v>2</v>
      </c>
      <c r="G712" s="12" t="s">
        <v>461</v>
      </c>
      <c r="H712" s="12" t="s">
        <v>461</v>
      </c>
      <c r="I712" s="160">
        <v>0</v>
      </c>
      <c r="J712" s="15">
        <v>1728672.6</v>
      </c>
      <c r="K712" s="25" t="s">
        <v>461</v>
      </c>
    </row>
    <row r="713" spans="1:12" s="277" customFormat="1" x14ac:dyDescent="0.25">
      <c r="A713" s="8" t="s">
        <v>0</v>
      </c>
      <c r="B713" s="39" t="s">
        <v>440</v>
      </c>
      <c r="C713" s="18" t="s">
        <v>4</v>
      </c>
      <c r="D713" s="11" t="s">
        <v>1260</v>
      </c>
      <c r="E713" s="12" t="s">
        <v>758</v>
      </c>
      <c r="F713" s="12" t="s">
        <v>2</v>
      </c>
      <c r="G713" s="12" t="s">
        <v>461</v>
      </c>
      <c r="H713" s="12" t="s">
        <v>461</v>
      </c>
      <c r="I713" s="160">
        <v>0</v>
      </c>
      <c r="J713" s="15">
        <v>4271875</v>
      </c>
      <c r="K713" s="25" t="s">
        <v>461</v>
      </c>
      <c r="L713" s="285"/>
    </row>
    <row r="714" spans="1:12" s="277" customFormat="1" x14ac:dyDescent="0.25">
      <c r="A714" s="8" t="s">
        <v>0</v>
      </c>
      <c r="B714" s="9" t="s">
        <v>798</v>
      </c>
      <c r="C714" s="18" t="s">
        <v>4</v>
      </c>
      <c r="D714" s="156" t="s">
        <v>1260</v>
      </c>
      <c r="E714" s="12" t="s">
        <v>758</v>
      </c>
      <c r="F714" s="12" t="s">
        <v>2</v>
      </c>
      <c r="G714" s="12" t="s">
        <v>461</v>
      </c>
      <c r="H714" s="12" t="s">
        <v>461</v>
      </c>
      <c r="I714" s="160">
        <v>0</v>
      </c>
      <c r="J714" s="15">
        <v>4923333.33</v>
      </c>
      <c r="K714" s="25" t="s">
        <v>461</v>
      </c>
      <c r="L714" s="285"/>
    </row>
    <row r="715" spans="1:12" s="277" customFormat="1" x14ac:dyDescent="0.25">
      <c r="A715" s="8" t="s">
        <v>0</v>
      </c>
      <c r="B715" s="9" t="s">
        <v>796</v>
      </c>
      <c r="C715" s="18" t="s">
        <v>4</v>
      </c>
      <c r="D715" s="11" t="s">
        <v>1260</v>
      </c>
      <c r="E715" s="12" t="s">
        <v>758</v>
      </c>
      <c r="F715" s="12" t="s">
        <v>2</v>
      </c>
      <c r="G715" s="12" t="s">
        <v>461</v>
      </c>
      <c r="H715" s="12" t="s">
        <v>461</v>
      </c>
      <c r="I715" s="160">
        <v>0</v>
      </c>
      <c r="J715" s="15">
        <v>2486571.39</v>
      </c>
      <c r="K715" s="13" t="s">
        <v>461</v>
      </c>
      <c r="L715" s="285"/>
    </row>
    <row r="716" spans="1:12" s="277" customFormat="1" x14ac:dyDescent="0.25">
      <c r="A716" s="8" t="s">
        <v>0</v>
      </c>
      <c r="B716" s="9" t="s">
        <v>797</v>
      </c>
      <c r="C716" s="19" t="s">
        <v>4</v>
      </c>
      <c r="D716" s="11">
        <v>36</v>
      </c>
      <c r="E716" s="12" t="s">
        <v>758</v>
      </c>
      <c r="F716" s="12" t="s">
        <v>2</v>
      </c>
      <c r="G716" s="12" t="s">
        <v>461</v>
      </c>
      <c r="H716" s="12" t="s">
        <v>461</v>
      </c>
      <c r="I716" s="160">
        <v>0</v>
      </c>
      <c r="J716" s="15">
        <v>6733333.3300000001</v>
      </c>
      <c r="K716" s="25" t="s">
        <v>461</v>
      </c>
      <c r="L716" s="285"/>
    </row>
    <row r="717" spans="1:12" s="277" customFormat="1" x14ac:dyDescent="0.25">
      <c r="A717" s="8" t="s">
        <v>0</v>
      </c>
      <c r="B717" s="9" t="s">
        <v>797</v>
      </c>
      <c r="C717" s="19" t="s">
        <v>665</v>
      </c>
      <c r="D717" s="17" t="s">
        <v>1302</v>
      </c>
      <c r="E717" s="12" t="s">
        <v>461</v>
      </c>
      <c r="F717" s="12" t="s">
        <v>461</v>
      </c>
      <c r="G717" s="12" t="s">
        <v>461</v>
      </c>
      <c r="H717" s="12" t="s">
        <v>461</v>
      </c>
      <c r="I717" s="160">
        <v>0</v>
      </c>
      <c r="J717" s="15">
        <v>0</v>
      </c>
      <c r="K717" s="25" t="s">
        <v>461</v>
      </c>
      <c r="L717" s="285"/>
    </row>
    <row r="718" spans="1:12" s="277" customFormat="1" x14ac:dyDescent="0.25">
      <c r="A718" s="8" t="s">
        <v>0</v>
      </c>
      <c r="B718" s="39" t="s">
        <v>441</v>
      </c>
      <c r="C718" s="18" t="s">
        <v>4</v>
      </c>
      <c r="D718" s="11">
        <v>65</v>
      </c>
      <c r="E718" s="12" t="s">
        <v>758</v>
      </c>
      <c r="F718" s="12" t="s">
        <v>2</v>
      </c>
      <c r="G718" s="12" t="s">
        <v>461</v>
      </c>
      <c r="H718" s="12" t="s">
        <v>461</v>
      </c>
      <c r="I718" s="160">
        <v>0</v>
      </c>
      <c r="J718" s="15">
        <v>1293055.22</v>
      </c>
      <c r="K718" s="25" t="s">
        <v>461</v>
      </c>
      <c r="L718" s="285"/>
    </row>
    <row r="719" spans="1:12" s="277" customFormat="1" x14ac:dyDescent="0.25">
      <c r="A719" s="8" t="s">
        <v>0</v>
      </c>
      <c r="B719" s="39" t="s">
        <v>442</v>
      </c>
      <c r="C719" s="18" t="s">
        <v>5</v>
      </c>
      <c r="D719" s="11" t="s">
        <v>1260</v>
      </c>
      <c r="E719" s="12" t="s">
        <v>758</v>
      </c>
      <c r="F719" s="12" t="s">
        <v>2</v>
      </c>
      <c r="G719" s="12" t="s">
        <v>461</v>
      </c>
      <c r="H719" s="12" t="s">
        <v>461</v>
      </c>
      <c r="I719" s="160">
        <v>0</v>
      </c>
      <c r="J719" s="15">
        <v>1755553.8399999999</v>
      </c>
      <c r="K719" s="25" t="s">
        <v>461</v>
      </c>
      <c r="L719" s="285"/>
    </row>
    <row r="720" spans="1:12" s="277" customFormat="1" x14ac:dyDescent="0.25">
      <c r="A720" s="8" t="s">
        <v>0</v>
      </c>
      <c r="B720" s="39" t="s">
        <v>443</v>
      </c>
      <c r="C720" s="18" t="s">
        <v>5</v>
      </c>
      <c r="D720" s="11"/>
      <c r="E720" s="12" t="s">
        <v>758</v>
      </c>
      <c r="F720" s="8" t="s">
        <v>2</v>
      </c>
      <c r="G720" s="12" t="s">
        <v>461</v>
      </c>
      <c r="H720" s="12" t="s">
        <v>461</v>
      </c>
      <c r="I720" s="160">
        <v>0</v>
      </c>
      <c r="J720" s="15">
        <v>634609.11</v>
      </c>
      <c r="K720" s="25">
        <v>41320</v>
      </c>
      <c r="L720" s="285"/>
    </row>
    <row r="721" spans="1:12" s="285" customFormat="1" ht="15" customHeight="1" x14ac:dyDescent="0.25">
      <c r="A721" s="8" t="s">
        <v>0</v>
      </c>
      <c r="B721" s="39" t="s">
        <v>638</v>
      </c>
      <c r="C721" s="45" t="s">
        <v>560</v>
      </c>
      <c r="D721" s="11">
        <v>60</v>
      </c>
      <c r="E721" s="8" t="s">
        <v>661</v>
      </c>
      <c r="F721" s="30" t="s">
        <v>2</v>
      </c>
      <c r="G721" s="12" t="s">
        <v>461</v>
      </c>
      <c r="H721" s="12" t="s">
        <v>461</v>
      </c>
      <c r="I721" s="160">
        <v>0</v>
      </c>
      <c r="J721" s="15">
        <v>2083520.25</v>
      </c>
      <c r="K721" s="25">
        <v>41320</v>
      </c>
    </row>
    <row r="722" spans="1:12" s="277" customFormat="1" x14ac:dyDescent="0.25">
      <c r="A722" s="8" t="s">
        <v>0</v>
      </c>
      <c r="B722" s="39" t="s">
        <v>444</v>
      </c>
      <c r="C722" s="18" t="s">
        <v>4</v>
      </c>
      <c r="D722" s="11">
        <v>65</v>
      </c>
      <c r="E722" s="12" t="s">
        <v>759</v>
      </c>
      <c r="F722" s="12" t="s">
        <v>2</v>
      </c>
      <c r="G722" s="12" t="s">
        <v>461</v>
      </c>
      <c r="H722" s="12" t="s">
        <v>461</v>
      </c>
      <c r="I722" s="160">
        <v>0</v>
      </c>
      <c r="J722" s="15">
        <v>1115625</v>
      </c>
      <c r="K722" s="25" t="s">
        <v>461</v>
      </c>
      <c r="L722" s="285"/>
    </row>
    <row r="723" spans="1:12" s="277" customFormat="1" x14ac:dyDescent="0.25">
      <c r="A723" s="8" t="s">
        <v>0</v>
      </c>
      <c r="B723" s="39" t="s">
        <v>445</v>
      </c>
      <c r="C723" s="18" t="s">
        <v>4</v>
      </c>
      <c r="D723" s="11" t="s">
        <v>1260</v>
      </c>
      <c r="E723" s="12" t="s">
        <v>758</v>
      </c>
      <c r="F723" s="12" t="s">
        <v>2</v>
      </c>
      <c r="G723" s="12" t="s">
        <v>461</v>
      </c>
      <c r="H723" s="12" t="s">
        <v>461</v>
      </c>
      <c r="I723" s="160">
        <v>0</v>
      </c>
      <c r="J723" s="15">
        <v>1103970.83</v>
      </c>
      <c r="K723" s="13" t="s">
        <v>461</v>
      </c>
      <c r="L723" s="285"/>
    </row>
    <row r="724" spans="1:12" s="277" customFormat="1" x14ac:dyDescent="0.25">
      <c r="A724" s="281" t="s">
        <v>0</v>
      </c>
      <c r="B724" s="253" t="s">
        <v>446</v>
      </c>
      <c r="C724" s="254" t="s">
        <v>4</v>
      </c>
      <c r="D724" s="280" t="s">
        <v>1260</v>
      </c>
      <c r="E724" s="278" t="s">
        <v>758</v>
      </c>
      <c r="F724" s="12" t="s">
        <v>2</v>
      </c>
      <c r="G724" s="12" t="s">
        <v>461</v>
      </c>
      <c r="H724" s="12" t="s">
        <v>461</v>
      </c>
      <c r="I724" s="160">
        <v>0</v>
      </c>
      <c r="J724" s="15">
        <v>567986111.11000001</v>
      </c>
      <c r="K724" s="248" t="s">
        <v>461</v>
      </c>
      <c r="L724" s="285"/>
    </row>
    <row r="725" spans="1:12" s="277" customFormat="1" x14ac:dyDescent="0.25">
      <c r="A725" s="8" t="s">
        <v>0</v>
      </c>
      <c r="B725" s="39" t="s">
        <v>447</v>
      </c>
      <c r="C725" s="19" t="s">
        <v>4</v>
      </c>
      <c r="D725" s="17" t="s">
        <v>1113</v>
      </c>
      <c r="E725" s="12" t="s">
        <v>758</v>
      </c>
      <c r="F725" s="12" t="s">
        <v>2</v>
      </c>
      <c r="G725" s="12" t="s">
        <v>461</v>
      </c>
      <c r="H725" s="12" t="s">
        <v>461</v>
      </c>
      <c r="I725" s="160">
        <v>0</v>
      </c>
      <c r="J725" s="15">
        <v>3507500</v>
      </c>
      <c r="K725" s="25" t="s">
        <v>461</v>
      </c>
      <c r="L725" s="285"/>
    </row>
    <row r="726" spans="1:12" s="277" customFormat="1" x14ac:dyDescent="0.25">
      <c r="A726" s="8" t="s">
        <v>0</v>
      </c>
      <c r="B726" s="39" t="s">
        <v>447</v>
      </c>
      <c r="C726" s="19" t="s">
        <v>669</v>
      </c>
      <c r="D726" s="17" t="s">
        <v>1113</v>
      </c>
      <c r="E726" s="12" t="s">
        <v>758</v>
      </c>
      <c r="F726" s="12" t="s">
        <v>2</v>
      </c>
      <c r="G726" s="12" t="s">
        <v>461</v>
      </c>
      <c r="H726" s="12" t="s">
        <v>461</v>
      </c>
      <c r="I726" s="160">
        <v>0</v>
      </c>
      <c r="J726" s="15">
        <v>1475833.33</v>
      </c>
      <c r="K726" s="25" t="s">
        <v>461</v>
      </c>
      <c r="L726" s="285"/>
    </row>
    <row r="727" spans="1:12" s="277" customFormat="1" x14ac:dyDescent="0.25">
      <c r="A727" s="8" t="s">
        <v>0</v>
      </c>
      <c r="B727" s="39" t="s">
        <v>448</v>
      </c>
      <c r="C727" s="18" t="s">
        <v>5</v>
      </c>
      <c r="D727" s="11" t="s">
        <v>1260</v>
      </c>
      <c r="E727" s="12" t="s">
        <v>758</v>
      </c>
      <c r="F727" s="12" t="s">
        <v>2</v>
      </c>
      <c r="G727" s="12" t="s">
        <v>461</v>
      </c>
      <c r="H727" s="12" t="s">
        <v>461</v>
      </c>
      <c r="I727" s="160">
        <v>0</v>
      </c>
      <c r="J727" s="15">
        <v>214972.22222222222</v>
      </c>
      <c r="K727" s="25" t="s">
        <v>461</v>
      </c>
      <c r="L727" s="285"/>
    </row>
    <row r="728" spans="1:12" s="277" customFormat="1" x14ac:dyDescent="0.25">
      <c r="A728" s="8" t="s">
        <v>0</v>
      </c>
      <c r="B728" s="39" t="s">
        <v>449</v>
      </c>
      <c r="C728" s="18" t="s">
        <v>4</v>
      </c>
      <c r="D728" s="11" t="s">
        <v>1260</v>
      </c>
      <c r="E728" s="12" t="s">
        <v>758</v>
      </c>
      <c r="F728" s="12" t="s">
        <v>2</v>
      </c>
      <c r="G728" s="12" t="s">
        <v>461</v>
      </c>
      <c r="H728" s="12" t="s">
        <v>461</v>
      </c>
      <c r="I728" s="160">
        <v>0</v>
      </c>
      <c r="J728" s="15">
        <v>23722222.218888886</v>
      </c>
      <c r="K728" s="25" t="s">
        <v>461</v>
      </c>
      <c r="L728" s="285"/>
    </row>
    <row r="729" spans="1:12" s="277" customFormat="1" x14ac:dyDescent="0.25">
      <c r="A729" s="281" t="s">
        <v>0</v>
      </c>
      <c r="B729" s="253" t="s">
        <v>450</v>
      </c>
      <c r="C729" s="254" t="s">
        <v>5</v>
      </c>
      <c r="D729" s="280" t="s">
        <v>1260</v>
      </c>
      <c r="E729" s="278" t="s">
        <v>758</v>
      </c>
      <c r="F729" s="12" t="s">
        <v>2</v>
      </c>
      <c r="G729" s="12" t="s">
        <v>461</v>
      </c>
      <c r="H729" s="12" t="s">
        <v>461</v>
      </c>
      <c r="I729" s="160">
        <v>0</v>
      </c>
      <c r="J729" s="15">
        <v>521382.89</v>
      </c>
      <c r="K729" s="258" t="s">
        <v>461</v>
      </c>
      <c r="L729" s="285"/>
    </row>
    <row r="730" spans="1:12" s="277" customFormat="1" x14ac:dyDescent="0.25">
      <c r="A730" s="8" t="s">
        <v>0</v>
      </c>
      <c r="B730" s="39" t="s">
        <v>451</v>
      </c>
      <c r="C730" s="18" t="s">
        <v>4</v>
      </c>
      <c r="D730" s="11">
        <v>3</v>
      </c>
      <c r="E730" s="12" t="s">
        <v>758</v>
      </c>
      <c r="F730" s="12" t="s">
        <v>2</v>
      </c>
      <c r="G730" s="12" t="s">
        <v>461</v>
      </c>
      <c r="H730" s="12" t="s">
        <v>461</v>
      </c>
      <c r="I730" s="160">
        <v>0</v>
      </c>
      <c r="J730" s="15">
        <v>12109027.779999999</v>
      </c>
      <c r="K730" s="13" t="s">
        <v>461</v>
      </c>
      <c r="L730" s="285"/>
    </row>
    <row r="731" spans="1:12" s="285" customFormat="1" ht="15" customHeight="1" x14ac:dyDescent="0.25">
      <c r="A731" s="8" t="s">
        <v>0</v>
      </c>
      <c r="B731" s="21" t="s">
        <v>607</v>
      </c>
      <c r="C731" s="44" t="s">
        <v>560</v>
      </c>
      <c r="D731" s="26">
        <v>65</v>
      </c>
      <c r="E731" s="8" t="s">
        <v>661</v>
      </c>
      <c r="F731" s="12" t="s">
        <v>2</v>
      </c>
      <c r="G731" s="12" t="s">
        <v>461</v>
      </c>
      <c r="H731" s="12" t="s">
        <v>461</v>
      </c>
      <c r="I731" s="160">
        <v>0</v>
      </c>
      <c r="J731" s="15">
        <v>2693233.91</v>
      </c>
      <c r="K731" s="25" t="s">
        <v>461</v>
      </c>
    </row>
    <row r="732" spans="1:12" s="277" customFormat="1" x14ac:dyDescent="0.25">
      <c r="A732" s="8" t="s">
        <v>0</v>
      </c>
      <c r="B732" s="39" t="s">
        <v>452</v>
      </c>
      <c r="C732" s="18" t="s">
        <v>4</v>
      </c>
      <c r="D732" s="11"/>
      <c r="E732" s="12" t="s">
        <v>758</v>
      </c>
      <c r="F732" s="8" t="s">
        <v>2</v>
      </c>
      <c r="G732" s="12" t="s">
        <v>461</v>
      </c>
      <c r="H732" s="12" t="s">
        <v>461</v>
      </c>
      <c r="I732" s="160">
        <v>0</v>
      </c>
      <c r="J732" s="15">
        <v>189003502.78</v>
      </c>
      <c r="K732" s="25">
        <v>41320</v>
      </c>
      <c r="L732" s="285"/>
    </row>
    <row r="733" spans="1:12" s="277" customFormat="1" x14ac:dyDescent="0.25">
      <c r="A733" s="8" t="s">
        <v>0</v>
      </c>
      <c r="B733" s="39" t="s">
        <v>453</v>
      </c>
      <c r="C733" s="18" t="s">
        <v>5</v>
      </c>
      <c r="D733" s="11"/>
      <c r="E733" s="12" t="s">
        <v>758</v>
      </c>
      <c r="F733" s="8" t="s">
        <v>2</v>
      </c>
      <c r="G733" s="12" t="s">
        <v>461</v>
      </c>
      <c r="H733" s="12" t="s">
        <v>461</v>
      </c>
      <c r="I733" s="160">
        <v>0</v>
      </c>
      <c r="J733" s="15">
        <v>253122.22</v>
      </c>
      <c r="K733" s="25">
        <v>41320</v>
      </c>
      <c r="L733" s="285"/>
    </row>
    <row r="734" spans="1:12" s="277" customFormat="1" x14ac:dyDescent="0.25">
      <c r="A734" s="8" t="s">
        <v>0</v>
      </c>
      <c r="B734" s="39" t="s">
        <v>454</v>
      </c>
      <c r="C734" s="18" t="s">
        <v>4</v>
      </c>
      <c r="D734" s="11">
        <v>80</v>
      </c>
      <c r="E734" s="12" t="s">
        <v>758</v>
      </c>
      <c r="F734" s="13" t="s">
        <v>2</v>
      </c>
      <c r="G734" s="12" t="s">
        <v>461</v>
      </c>
      <c r="H734" s="12" t="s">
        <v>461</v>
      </c>
      <c r="I734" s="160">
        <v>0</v>
      </c>
      <c r="J734" s="15">
        <v>18751437.559999999</v>
      </c>
      <c r="K734" s="13" t="s">
        <v>461</v>
      </c>
      <c r="L734" s="285"/>
    </row>
    <row r="735" spans="1:12" s="282" customFormat="1" ht="15" customHeight="1" x14ac:dyDescent="0.25">
      <c r="A735" s="8" t="s">
        <v>0</v>
      </c>
      <c r="B735" s="39" t="s">
        <v>678</v>
      </c>
      <c r="C735" s="45" t="s">
        <v>560</v>
      </c>
      <c r="D735" s="26">
        <v>66</v>
      </c>
      <c r="E735" s="8" t="s">
        <v>661</v>
      </c>
      <c r="F735" s="12" t="s">
        <v>2</v>
      </c>
      <c r="G735" s="12" t="s">
        <v>461</v>
      </c>
      <c r="H735" s="12" t="s">
        <v>461</v>
      </c>
      <c r="I735" s="160">
        <v>0</v>
      </c>
      <c r="J735" s="15">
        <v>1599381.34</v>
      </c>
      <c r="K735" s="25" t="s">
        <v>461</v>
      </c>
      <c r="L735" s="285"/>
    </row>
    <row r="736" spans="1:12" s="277" customFormat="1" x14ac:dyDescent="0.25">
      <c r="A736" s="8" t="s">
        <v>0</v>
      </c>
      <c r="B736" s="39" t="s">
        <v>455</v>
      </c>
      <c r="C736" s="18" t="s">
        <v>5</v>
      </c>
      <c r="D736" s="11"/>
      <c r="E736" s="12" t="s">
        <v>758</v>
      </c>
      <c r="F736" s="8" t="s">
        <v>2</v>
      </c>
      <c r="G736" s="12" t="s">
        <v>461</v>
      </c>
      <c r="H736" s="12" t="s">
        <v>461</v>
      </c>
      <c r="I736" s="160">
        <v>0</v>
      </c>
      <c r="J736" s="15">
        <v>690832.08</v>
      </c>
      <c r="K736" s="25">
        <v>41320</v>
      </c>
      <c r="L736" s="285"/>
    </row>
    <row r="737" spans="1:12" s="277" customFormat="1" x14ac:dyDescent="0.25">
      <c r="A737" s="8" t="s">
        <v>0</v>
      </c>
      <c r="B737" s="39" t="s">
        <v>456</v>
      </c>
      <c r="C737" s="18" t="s">
        <v>4</v>
      </c>
      <c r="D737" s="11" t="s">
        <v>1260</v>
      </c>
      <c r="E737" s="12" t="s">
        <v>758</v>
      </c>
      <c r="F737" s="12" t="s">
        <v>2</v>
      </c>
      <c r="G737" s="12" t="s">
        <v>461</v>
      </c>
      <c r="H737" s="12" t="s">
        <v>461</v>
      </c>
      <c r="I737" s="160">
        <v>0</v>
      </c>
      <c r="J737" s="15">
        <v>7925718.8900000006</v>
      </c>
      <c r="K737" s="13" t="s">
        <v>461</v>
      </c>
      <c r="L737" s="285"/>
    </row>
    <row r="738" spans="1:12" s="277" customFormat="1" x14ac:dyDescent="0.25">
      <c r="A738" s="8" t="s">
        <v>0</v>
      </c>
      <c r="B738" s="39" t="s">
        <v>457</v>
      </c>
      <c r="C738" s="18" t="s">
        <v>5</v>
      </c>
      <c r="D738" s="11" t="s">
        <v>1260</v>
      </c>
      <c r="E738" s="12" t="s">
        <v>758</v>
      </c>
      <c r="F738" s="12" t="s">
        <v>2</v>
      </c>
      <c r="G738" s="12" t="s">
        <v>461</v>
      </c>
      <c r="H738" s="12" t="s">
        <v>461</v>
      </c>
      <c r="I738" s="160">
        <v>0</v>
      </c>
      <c r="J738" s="15">
        <v>284611.11</v>
      </c>
      <c r="K738" s="25" t="s">
        <v>461</v>
      </c>
      <c r="L738" s="285"/>
    </row>
    <row r="739" spans="1:12" s="277" customFormat="1" x14ac:dyDescent="0.25">
      <c r="A739" s="8" t="s">
        <v>0</v>
      </c>
      <c r="B739" s="39" t="s">
        <v>458</v>
      </c>
      <c r="C739" s="18" t="s">
        <v>4</v>
      </c>
      <c r="D739" s="17" t="s">
        <v>915</v>
      </c>
      <c r="E739" s="12" t="s">
        <v>758</v>
      </c>
      <c r="F739" s="12" t="s">
        <v>2</v>
      </c>
      <c r="G739" s="12" t="s">
        <v>461</v>
      </c>
      <c r="H739" s="12" t="s">
        <v>461</v>
      </c>
      <c r="I739" s="160">
        <v>0</v>
      </c>
      <c r="J739" s="15">
        <v>3233333.33</v>
      </c>
      <c r="K739" s="25" t="s">
        <v>461</v>
      </c>
      <c r="L739" s="285"/>
    </row>
    <row r="740" spans="1:12" s="277" customFormat="1" x14ac:dyDescent="0.25">
      <c r="A740" s="8" t="s">
        <v>0</v>
      </c>
      <c r="B740" s="39" t="s">
        <v>459</v>
      </c>
      <c r="C740" s="18" t="s">
        <v>5</v>
      </c>
      <c r="D740" s="11"/>
      <c r="E740" s="12" t="s">
        <v>758</v>
      </c>
      <c r="F740" s="8" t="s">
        <v>2</v>
      </c>
      <c r="G740" s="12" t="s">
        <v>461</v>
      </c>
      <c r="H740" s="12" t="s">
        <v>461</v>
      </c>
      <c r="I740" s="160">
        <v>0</v>
      </c>
      <c r="J740" s="15">
        <v>146241.66999999998</v>
      </c>
      <c r="K740" s="25">
        <v>41320</v>
      </c>
      <c r="L740" s="285"/>
    </row>
    <row r="741" spans="1:12" s="277" customFormat="1" x14ac:dyDescent="0.25">
      <c r="A741" s="8" t="s">
        <v>0</v>
      </c>
      <c r="B741" s="39" t="s">
        <v>460</v>
      </c>
      <c r="C741" s="18" t="s">
        <v>4</v>
      </c>
      <c r="D741" s="11" t="s">
        <v>1260</v>
      </c>
      <c r="E741" s="12" t="s">
        <v>758</v>
      </c>
      <c r="F741" s="12" t="s">
        <v>2</v>
      </c>
      <c r="G741" s="12" t="s">
        <v>461</v>
      </c>
      <c r="H741" s="12" t="s">
        <v>461</v>
      </c>
      <c r="I741" s="160">
        <v>0</v>
      </c>
      <c r="J741" s="15">
        <v>1218750</v>
      </c>
      <c r="K741" s="13" t="s">
        <v>461</v>
      </c>
      <c r="L741" s="285"/>
    </row>
    <row r="742" spans="1:12" s="277" customFormat="1" x14ac:dyDescent="0.25">
      <c r="A742" s="8" t="s">
        <v>0</v>
      </c>
      <c r="B742" s="39" t="s">
        <v>462</v>
      </c>
      <c r="C742" s="18" t="s">
        <v>5</v>
      </c>
      <c r="D742" s="11" t="s">
        <v>1260</v>
      </c>
      <c r="E742" s="12" t="s">
        <v>758</v>
      </c>
      <c r="F742" s="12" t="s">
        <v>2</v>
      </c>
      <c r="G742" s="12" t="s">
        <v>461</v>
      </c>
      <c r="H742" s="12" t="s">
        <v>461</v>
      </c>
      <c r="I742" s="160">
        <v>0</v>
      </c>
      <c r="J742" s="15">
        <v>295307.67</v>
      </c>
      <c r="K742" s="25" t="s">
        <v>461</v>
      </c>
      <c r="L742" s="285"/>
    </row>
    <row r="743" spans="1:12" s="277" customFormat="1" x14ac:dyDescent="0.25">
      <c r="A743" s="281" t="s">
        <v>0</v>
      </c>
      <c r="B743" s="251" t="s">
        <v>670</v>
      </c>
      <c r="C743" s="256" t="s">
        <v>5</v>
      </c>
      <c r="D743" s="280">
        <v>65</v>
      </c>
      <c r="E743" s="278" t="s">
        <v>758</v>
      </c>
      <c r="F743" s="12" t="s">
        <v>2</v>
      </c>
      <c r="G743" s="12" t="s">
        <v>461</v>
      </c>
      <c r="H743" s="12" t="s">
        <v>461</v>
      </c>
      <c r="I743" s="160">
        <v>0</v>
      </c>
      <c r="J743" s="15">
        <v>2234499.98</v>
      </c>
      <c r="K743" s="258" t="s">
        <v>461</v>
      </c>
      <c r="L743" s="285"/>
    </row>
    <row r="744" spans="1:12" s="277" customFormat="1" x14ac:dyDescent="0.25">
      <c r="A744" s="8" t="s">
        <v>0</v>
      </c>
      <c r="B744" s="39" t="s">
        <v>463</v>
      </c>
      <c r="C744" s="18" t="s">
        <v>4</v>
      </c>
      <c r="D744" s="11">
        <v>3</v>
      </c>
      <c r="E744" s="12" t="s">
        <v>758</v>
      </c>
      <c r="F744" s="12" t="s">
        <v>2</v>
      </c>
      <c r="G744" s="12" t="s">
        <v>461</v>
      </c>
      <c r="H744" s="12" t="s">
        <v>461</v>
      </c>
      <c r="I744" s="160">
        <v>0</v>
      </c>
      <c r="J744" s="15">
        <v>2813688.89</v>
      </c>
      <c r="K744" s="25" t="s">
        <v>461</v>
      </c>
      <c r="L744" s="285"/>
    </row>
    <row r="745" spans="1:12" s="277" customFormat="1" x14ac:dyDescent="0.25">
      <c r="A745" s="8" t="s">
        <v>0</v>
      </c>
      <c r="B745" s="39" t="s">
        <v>464</v>
      </c>
      <c r="C745" s="18" t="s">
        <v>5</v>
      </c>
      <c r="D745" s="11">
        <v>45</v>
      </c>
      <c r="E745" s="12" t="s">
        <v>759</v>
      </c>
      <c r="F745" s="12" t="s">
        <v>2</v>
      </c>
      <c r="G745" s="12" t="s">
        <v>461</v>
      </c>
      <c r="H745" s="12" t="s">
        <v>461</v>
      </c>
      <c r="I745" s="160">
        <v>0</v>
      </c>
      <c r="J745" s="15">
        <v>169834</v>
      </c>
      <c r="K745" s="25" t="s">
        <v>461</v>
      </c>
      <c r="L745" s="285"/>
    </row>
    <row r="746" spans="1:12" s="277" customFormat="1" x14ac:dyDescent="0.25">
      <c r="A746" s="281" t="s">
        <v>0</v>
      </c>
      <c r="B746" s="253" t="s">
        <v>465</v>
      </c>
      <c r="C746" s="254" t="s">
        <v>4</v>
      </c>
      <c r="D746" s="280" t="s">
        <v>1260</v>
      </c>
      <c r="E746" s="278" t="s">
        <v>758</v>
      </c>
      <c r="F746" s="12" t="s">
        <v>2</v>
      </c>
      <c r="G746" s="12" t="s">
        <v>461</v>
      </c>
      <c r="H746" s="12" t="s">
        <v>461</v>
      </c>
      <c r="I746" s="160">
        <v>0</v>
      </c>
      <c r="J746" s="15">
        <v>3940694.0011111111</v>
      </c>
      <c r="K746" s="258" t="s">
        <v>461</v>
      </c>
      <c r="L746" s="285"/>
    </row>
    <row r="747" spans="1:12" s="277" customFormat="1" x14ac:dyDescent="0.25">
      <c r="A747" s="8" t="s">
        <v>0</v>
      </c>
      <c r="B747" s="39" t="s">
        <v>466</v>
      </c>
      <c r="C747" s="18" t="s">
        <v>4</v>
      </c>
      <c r="D747" s="11" t="s">
        <v>1260</v>
      </c>
      <c r="E747" s="12" t="s">
        <v>758</v>
      </c>
      <c r="F747" s="12" t="s">
        <v>2</v>
      </c>
      <c r="G747" s="12" t="s">
        <v>461</v>
      </c>
      <c r="H747" s="12" t="s">
        <v>461</v>
      </c>
      <c r="I747" s="160">
        <v>0</v>
      </c>
      <c r="J747" s="15">
        <v>95416666.670000002</v>
      </c>
      <c r="K747" s="13" t="s">
        <v>461</v>
      </c>
      <c r="L747" s="285"/>
    </row>
    <row r="748" spans="1:12" s="277" customFormat="1" x14ac:dyDescent="0.25">
      <c r="A748" s="8" t="s">
        <v>0</v>
      </c>
      <c r="B748" s="39" t="s">
        <v>467</v>
      </c>
      <c r="C748" s="18" t="s">
        <v>5</v>
      </c>
      <c r="D748" s="11">
        <v>92</v>
      </c>
      <c r="E748" s="12" t="s">
        <v>758</v>
      </c>
      <c r="F748" s="8" t="s">
        <v>2</v>
      </c>
      <c r="G748" s="12" t="s">
        <v>461</v>
      </c>
      <c r="H748" s="12" t="s">
        <v>461</v>
      </c>
      <c r="I748" s="160">
        <v>0</v>
      </c>
      <c r="J748" s="15">
        <v>3766126.61</v>
      </c>
      <c r="K748" s="25" t="s">
        <v>461</v>
      </c>
      <c r="L748" s="285"/>
    </row>
    <row r="749" spans="1:12" s="277" customFormat="1" x14ac:dyDescent="0.25">
      <c r="A749" s="8" t="s">
        <v>0</v>
      </c>
      <c r="B749" s="39" t="s">
        <v>468</v>
      </c>
      <c r="C749" s="18" t="s">
        <v>4</v>
      </c>
      <c r="D749" s="11">
        <v>82</v>
      </c>
      <c r="E749" s="12" t="s">
        <v>759</v>
      </c>
      <c r="F749" s="12" t="s">
        <v>2</v>
      </c>
      <c r="G749" s="12" t="s">
        <v>461</v>
      </c>
      <c r="H749" s="12" t="s">
        <v>461</v>
      </c>
      <c r="I749" s="160">
        <v>0</v>
      </c>
      <c r="J749" s="15">
        <v>662083.32999999996</v>
      </c>
      <c r="K749" s="25" t="s">
        <v>461</v>
      </c>
      <c r="L749" s="285"/>
    </row>
    <row r="750" spans="1:12" s="277" customFormat="1" x14ac:dyDescent="0.25">
      <c r="A750" s="281" t="s">
        <v>0</v>
      </c>
      <c r="B750" s="253" t="s">
        <v>469</v>
      </c>
      <c r="C750" s="254" t="s">
        <v>4</v>
      </c>
      <c r="D750" s="280">
        <v>65</v>
      </c>
      <c r="E750" s="278" t="s">
        <v>759</v>
      </c>
      <c r="F750" s="12" t="s">
        <v>2</v>
      </c>
      <c r="G750" s="12" t="s">
        <v>461</v>
      </c>
      <c r="H750" s="12" t="s">
        <v>461</v>
      </c>
      <c r="I750" s="160">
        <v>0</v>
      </c>
      <c r="J750" s="15">
        <v>1219575</v>
      </c>
      <c r="K750" s="258" t="s">
        <v>461</v>
      </c>
      <c r="L750" s="285"/>
    </row>
    <row r="751" spans="1:12" s="277" customFormat="1" x14ac:dyDescent="0.25">
      <c r="A751" s="281" t="s">
        <v>0</v>
      </c>
      <c r="B751" s="253" t="s">
        <v>470</v>
      </c>
      <c r="C751" s="254" t="s">
        <v>4</v>
      </c>
      <c r="D751" s="280"/>
      <c r="E751" s="278" t="s">
        <v>758</v>
      </c>
      <c r="F751" s="8" t="s">
        <v>2</v>
      </c>
      <c r="G751" s="12" t="s">
        <v>461</v>
      </c>
      <c r="H751" s="12" t="s">
        <v>461</v>
      </c>
      <c r="I751" s="160">
        <v>0</v>
      </c>
      <c r="J751" s="15">
        <v>4046875</v>
      </c>
      <c r="K751" s="25">
        <v>41320</v>
      </c>
      <c r="L751" s="285"/>
    </row>
    <row r="752" spans="1:12" s="277" customFormat="1" x14ac:dyDescent="0.25">
      <c r="A752" s="8" t="s">
        <v>0</v>
      </c>
      <c r="B752" s="39" t="s">
        <v>471</v>
      </c>
      <c r="C752" s="18" t="s">
        <v>4</v>
      </c>
      <c r="D752" s="11">
        <v>42</v>
      </c>
      <c r="E752" s="12" t="s">
        <v>758</v>
      </c>
      <c r="F752" s="12" t="s">
        <v>2</v>
      </c>
      <c r="G752" s="12" t="s">
        <v>461</v>
      </c>
      <c r="H752" s="12" t="s">
        <v>461</v>
      </c>
      <c r="I752" s="160">
        <v>0</v>
      </c>
      <c r="J752" s="15">
        <v>411805.55555555556</v>
      </c>
      <c r="K752" s="25" t="s">
        <v>461</v>
      </c>
      <c r="L752" s="285"/>
    </row>
    <row r="753" spans="1:12" s="277" customFormat="1" x14ac:dyDescent="0.25">
      <c r="A753" s="8" t="s">
        <v>0</v>
      </c>
      <c r="B753" s="39" t="s">
        <v>472</v>
      </c>
      <c r="C753" s="18" t="s">
        <v>5</v>
      </c>
      <c r="D753" s="11" t="s">
        <v>1260</v>
      </c>
      <c r="E753" s="12" t="s">
        <v>759</v>
      </c>
      <c r="F753" s="8" t="s">
        <v>2</v>
      </c>
      <c r="G753" s="12" t="s">
        <v>461</v>
      </c>
      <c r="H753" s="13" t="s">
        <v>461</v>
      </c>
      <c r="I753" s="160">
        <v>0</v>
      </c>
      <c r="J753" s="15">
        <v>63458.89</v>
      </c>
      <c r="K753" s="25" t="s">
        <v>461</v>
      </c>
      <c r="L753" s="285"/>
    </row>
    <row r="754" spans="1:12" s="277" customFormat="1" x14ac:dyDescent="0.25">
      <c r="A754" s="8" t="s">
        <v>0</v>
      </c>
      <c r="B754" s="39" t="s">
        <v>473</v>
      </c>
      <c r="C754" s="18" t="s">
        <v>4</v>
      </c>
      <c r="D754" s="11" t="s">
        <v>1260</v>
      </c>
      <c r="E754" s="12" t="s">
        <v>758</v>
      </c>
      <c r="F754" s="12" t="s">
        <v>2</v>
      </c>
      <c r="G754" s="12" t="s">
        <v>461</v>
      </c>
      <c r="H754" s="12" t="s">
        <v>461</v>
      </c>
      <c r="I754" s="160">
        <v>0</v>
      </c>
      <c r="J754" s="15">
        <v>318055555.44</v>
      </c>
      <c r="K754" s="13" t="s">
        <v>461</v>
      </c>
      <c r="L754" s="285"/>
    </row>
    <row r="755" spans="1:12" s="277" customFormat="1" x14ac:dyDescent="0.25">
      <c r="A755" s="8" t="s">
        <v>0</v>
      </c>
      <c r="B755" s="9" t="s">
        <v>654</v>
      </c>
      <c r="C755" s="18" t="s">
        <v>4</v>
      </c>
      <c r="D755" s="11" t="s">
        <v>1260</v>
      </c>
      <c r="E755" s="12" t="s">
        <v>758</v>
      </c>
      <c r="F755" s="12" t="s">
        <v>2</v>
      </c>
      <c r="G755" s="12" t="s">
        <v>461</v>
      </c>
      <c r="H755" s="12" t="s">
        <v>461</v>
      </c>
      <c r="I755" s="160">
        <v>0</v>
      </c>
      <c r="J755" s="15">
        <v>129861111.11</v>
      </c>
      <c r="K755" s="25" t="s">
        <v>461</v>
      </c>
      <c r="L755" s="285"/>
    </row>
    <row r="756" spans="1:12" s="277" customFormat="1" x14ac:dyDescent="0.25">
      <c r="A756" s="281" t="s">
        <v>0</v>
      </c>
      <c r="B756" s="255" t="s">
        <v>578</v>
      </c>
      <c r="C756" s="254" t="s">
        <v>561</v>
      </c>
      <c r="D756" s="280">
        <v>65</v>
      </c>
      <c r="E756" s="278" t="s">
        <v>758</v>
      </c>
      <c r="F756" s="12" t="s">
        <v>2</v>
      </c>
      <c r="G756" s="12" t="s">
        <v>461</v>
      </c>
      <c r="H756" s="12" t="s">
        <v>461</v>
      </c>
      <c r="I756" s="160">
        <v>0</v>
      </c>
      <c r="J756" s="15">
        <v>1830291.55</v>
      </c>
      <c r="K756" s="258" t="s">
        <v>461</v>
      </c>
      <c r="L756" s="285"/>
    </row>
    <row r="757" spans="1:12" s="277" customFormat="1" x14ac:dyDescent="0.25">
      <c r="A757" s="8" t="s">
        <v>0</v>
      </c>
      <c r="B757" s="39" t="s">
        <v>474</v>
      </c>
      <c r="C757" s="18" t="s">
        <v>5</v>
      </c>
      <c r="D757" s="11">
        <v>92</v>
      </c>
      <c r="E757" s="12" t="s">
        <v>759</v>
      </c>
      <c r="F757" s="8" t="s">
        <v>2</v>
      </c>
      <c r="G757" s="12" t="s">
        <v>461</v>
      </c>
      <c r="H757" s="12" t="s">
        <v>461</v>
      </c>
      <c r="I757" s="160">
        <v>0</v>
      </c>
      <c r="J757" s="15">
        <v>1575992.17</v>
      </c>
      <c r="K757" s="25" t="s">
        <v>461</v>
      </c>
      <c r="L757" s="285"/>
    </row>
    <row r="758" spans="1:12" s="277" customFormat="1" x14ac:dyDescent="0.25">
      <c r="A758" s="8" t="s">
        <v>0</v>
      </c>
      <c r="B758" s="39" t="s">
        <v>475</v>
      </c>
      <c r="C758" s="18" t="s">
        <v>4</v>
      </c>
      <c r="D758" s="11" t="s">
        <v>1260</v>
      </c>
      <c r="E758" s="12" t="s">
        <v>758</v>
      </c>
      <c r="F758" s="12" t="s">
        <v>2</v>
      </c>
      <c r="G758" s="12" t="s">
        <v>461</v>
      </c>
      <c r="H758" s="12" t="s">
        <v>461</v>
      </c>
      <c r="I758" s="160">
        <v>0</v>
      </c>
      <c r="J758" s="15">
        <v>421066666.67000002</v>
      </c>
      <c r="K758" s="25" t="s">
        <v>461</v>
      </c>
      <c r="L758" s="285"/>
    </row>
    <row r="759" spans="1:12" s="277" customFormat="1" x14ac:dyDescent="0.25">
      <c r="A759" s="8" t="s">
        <v>0</v>
      </c>
      <c r="B759" s="39" t="s">
        <v>476</v>
      </c>
      <c r="C759" s="18" t="s">
        <v>5</v>
      </c>
      <c r="D759" s="11">
        <v>65</v>
      </c>
      <c r="E759" s="12" t="s">
        <v>759</v>
      </c>
      <c r="F759" s="12" t="s">
        <v>2</v>
      </c>
      <c r="G759" s="12" t="s">
        <v>461</v>
      </c>
      <c r="H759" s="12" t="s">
        <v>461</v>
      </c>
      <c r="I759" s="160">
        <v>0</v>
      </c>
      <c r="J759" s="15">
        <v>751752.14</v>
      </c>
      <c r="K759" s="25" t="s">
        <v>461</v>
      </c>
      <c r="L759" s="285"/>
    </row>
    <row r="760" spans="1:12" s="277" customFormat="1" x14ac:dyDescent="0.25">
      <c r="A760" s="8" t="s">
        <v>0</v>
      </c>
      <c r="B760" s="39" t="s">
        <v>477</v>
      </c>
      <c r="C760" s="18" t="s">
        <v>5</v>
      </c>
      <c r="D760" s="11"/>
      <c r="E760" s="12" t="s">
        <v>758</v>
      </c>
      <c r="F760" s="8" t="s">
        <v>2</v>
      </c>
      <c r="G760" s="12" t="s">
        <v>461</v>
      </c>
      <c r="H760" s="12" t="s">
        <v>461</v>
      </c>
      <c r="I760" s="160">
        <v>0</v>
      </c>
      <c r="J760" s="15">
        <v>882900</v>
      </c>
      <c r="K760" s="25">
        <v>41320</v>
      </c>
      <c r="L760" s="285"/>
    </row>
    <row r="761" spans="1:12" s="277" customFormat="1" x14ac:dyDescent="0.25">
      <c r="A761" s="8" t="s">
        <v>0</v>
      </c>
      <c r="B761" s="39" t="s">
        <v>478</v>
      </c>
      <c r="C761" s="18" t="s">
        <v>4</v>
      </c>
      <c r="D761" s="11">
        <v>37</v>
      </c>
      <c r="E761" s="12" t="s">
        <v>758</v>
      </c>
      <c r="F761" s="12" t="s">
        <v>2</v>
      </c>
      <c r="G761" s="12" t="s">
        <v>461</v>
      </c>
      <c r="H761" s="12" t="s">
        <v>461</v>
      </c>
      <c r="I761" s="160">
        <v>0</v>
      </c>
      <c r="J761" s="15">
        <v>16386111.109999999</v>
      </c>
      <c r="K761" s="25" t="s">
        <v>461</v>
      </c>
      <c r="L761" s="285"/>
    </row>
    <row r="762" spans="1:12" s="285" customFormat="1" ht="15" customHeight="1" x14ac:dyDescent="0.25">
      <c r="A762" s="8" t="s">
        <v>0</v>
      </c>
      <c r="B762" s="39" t="s">
        <v>679</v>
      </c>
      <c r="C762" s="47" t="s">
        <v>560</v>
      </c>
      <c r="D762" s="11">
        <v>65</v>
      </c>
      <c r="E762" s="8" t="s">
        <v>661</v>
      </c>
      <c r="F762" s="12" t="s">
        <v>2</v>
      </c>
      <c r="G762" s="12" t="s">
        <v>461</v>
      </c>
      <c r="H762" s="12" t="s">
        <v>461</v>
      </c>
      <c r="I762" s="160">
        <v>0</v>
      </c>
      <c r="J762" s="15">
        <v>282299.17999999993</v>
      </c>
      <c r="K762" s="25" t="s">
        <v>461</v>
      </c>
    </row>
    <row r="763" spans="1:12" s="277" customFormat="1" x14ac:dyDescent="0.25">
      <c r="A763" s="8" t="s">
        <v>0</v>
      </c>
      <c r="B763" s="9" t="s">
        <v>804</v>
      </c>
      <c r="C763" s="18" t="s">
        <v>5</v>
      </c>
      <c r="D763" s="17" t="s">
        <v>1147</v>
      </c>
      <c r="E763" s="12" t="s">
        <v>759</v>
      </c>
      <c r="F763" s="12" t="s">
        <v>2</v>
      </c>
      <c r="G763" s="12" t="s">
        <v>461</v>
      </c>
      <c r="H763" s="12" t="s">
        <v>461</v>
      </c>
      <c r="I763" s="160">
        <v>0</v>
      </c>
      <c r="J763" s="15">
        <v>215183.2</v>
      </c>
      <c r="K763" s="25" t="s">
        <v>461</v>
      </c>
      <c r="L763" s="285"/>
    </row>
    <row r="764" spans="1:12" s="277" customFormat="1" x14ac:dyDescent="0.25">
      <c r="A764" s="8" t="s">
        <v>0</v>
      </c>
      <c r="B764" s="9" t="s">
        <v>805</v>
      </c>
      <c r="C764" s="18" t="s">
        <v>5</v>
      </c>
      <c r="D764" s="11" t="s">
        <v>1359</v>
      </c>
      <c r="E764" s="12" t="s">
        <v>759</v>
      </c>
      <c r="F764" s="8" t="s">
        <v>2</v>
      </c>
      <c r="G764" s="12" t="s">
        <v>461</v>
      </c>
      <c r="H764" s="12" t="s">
        <v>461</v>
      </c>
      <c r="I764" s="160">
        <v>0</v>
      </c>
      <c r="J764" s="15">
        <v>1174058.4800000002</v>
      </c>
      <c r="K764" s="25" t="s">
        <v>461</v>
      </c>
      <c r="L764" s="285"/>
    </row>
    <row r="765" spans="1:12" s="277" customFormat="1" x14ac:dyDescent="0.25">
      <c r="A765" s="8" t="s">
        <v>0</v>
      </c>
      <c r="B765" s="39" t="s">
        <v>479</v>
      </c>
      <c r="C765" s="18" t="s">
        <v>4</v>
      </c>
      <c r="D765" s="11">
        <v>44</v>
      </c>
      <c r="E765" s="12" t="s">
        <v>758</v>
      </c>
      <c r="F765" s="12" t="s">
        <v>2</v>
      </c>
      <c r="G765" s="12" t="s">
        <v>461</v>
      </c>
      <c r="H765" s="12" t="s">
        <v>461</v>
      </c>
      <c r="I765" s="160">
        <v>0</v>
      </c>
      <c r="J765" s="15">
        <v>1284722.22</v>
      </c>
      <c r="K765" s="25" t="s">
        <v>461</v>
      </c>
      <c r="L765" s="285"/>
    </row>
    <row r="766" spans="1:12" s="277" customFormat="1" x14ac:dyDescent="0.25">
      <c r="A766" s="8" t="s">
        <v>0</v>
      </c>
      <c r="B766" s="39" t="s">
        <v>480</v>
      </c>
      <c r="C766" s="18" t="s">
        <v>4</v>
      </c>
      <c r="D766" s="11"/>
      <c r="E766" s="12" t="s">
        <v>758</v>
      </c>
      <c r="F766" s="8" t="s">
        <v>2</v>
      </c>
      <c r="G766" s="12" t="s">
        <v>461</v>
      </c>
      <c r="H766" s="12" t="s">
        <v>461</v>
      </c>
      <c r="I766" s="160">
        <v>0</v>
      </c>
      <c r="J766" s="15">
        <v>1195973.33</v>
      </c>
      <c r="K766" s="25">
        <v>41320</v>
      </c>
      <c r="L766" s="285"/>
    </row>
    <row r="767" spans="1:12" s="277" customFormat="1" x14ac:dyDescent="0.25">
      <c r="A767" s="8" t="s">
        <v>0</v>
      </c>
      <c r="B767" s="39" t="s">
        <v>481</v>
      </c>
      <c r="C767" s="18" t="s">
        <v>5</v>
      </c>
      <c r="D767" s="17" t="s">
        <v>738</v>
      </c>
      <c r="E767" s="12" t="s">
        <v>759</v>
      </c>
      <c r="F767" s="12" t="s">
        <v>2</v>
      </c>
      <c r="G767" s="12" t="s">
        <v>461</v>
      </c>
      <c r="H767" s="12" t="s">
        <v>461</v>
      </c>
      <c r="I767" s="160">
        <v>0</v>
      </c>
      <c r="J767" s="15">
        <v>223208</v>
      </c>
      <c r="K767" s="25" t="s">
        <v>461</v>
      </c>
      <c r="L767" s="285"/>
    </row>
    <row r="768" spans="1:12" s="277" customFormat="1" x14ac:dyDescent="0.25">
      <c r="A768" s="281" t="s">
        <v>0</v>
      </c>
      <c r="B768" s="253" t="s">
        <v>482</v>
      </c>
      <c r="C768" s="254" t="s">
        <v>4</v>
      </c>
      <c r="D768" s="257">
        <v>92</v>
      </c>
      <c r="E768" s="278" t="s">
        <v>758</v>
      </c>
      <c r="F768" s="281" t="s">
        <v>2</v>
      </c>
      <c r="G768" s="12" t="s">
        <v>461</v>
      </c>
      <c r="H768" s="12" t="s">
        <v>461</v>
      </c>
      <c r="I768" s="160">
        <v>0</v>
      </c>
      <c r="J768" s="15">
        <v>3346628.6500000004</v>
      </c>
      <c r="K768" s="258" t="s">
        <v>461</v>
      </c>
      <c r="L768" s="285"/>
    </row>
    <row r="769" spans="1:12" s="277" customFormat="1" x14ac:dyDescent="0.25">
      <c r="A769" s="8" t="s">
        <v>0</v>
      </c>
      <c r="B769" s="39" t="s">
        <v>483</v>
      </c>
      <c r="C769" s="18" t="s">
        <v>5</v>
      </c>
      <c r="D769" s="17" t="s">
        <v>1260</v>
      </c>
      <c r="E769" s="12" t="s">
        <v>758</v>
      </c>
      <c r="F769" s="12" t="s">
        <v>2</v>
      </c>
      <c r="G769" s="12" t="s">
        <v>461</v>
      </c>
      <c r="H769" s="12" t="s">
        <v>461</v>
      </c>
      <c r="I769" s="160">
        <v>0</v>
      </c>
      <c r="J769" s="15">
        <v>346490.36</v>
      </c>
      <c r="K769" s="25" t="s">
        <v>461</v>
      </c>
      <c r="L769" s="285"/>
    </row>
    <row r="770" spans="1:12" s="277" customFormat="1" x14ac:dyDescent="0.25">
      <c r="A770" s="8" t="s">
        <v>0</v>
      </c>
      <c r="B770" s="39" t="s">
        <v>484</v>
      </c>
      <c r="C770" s="18" t="s">
        <v>5</v>
      </c>
      <c r="D770" s="11"/>
      <c r="E770" s="12" t="s">
        <v>758</v>
      </c>
      <c r="F770" s="8" t="s">
        <v>2</v>
      </c>
      <c r="G770" s="12" t="s">
        <v>461</v>
      </c>
      <c r="H770" s="12" t="s">
        <v>461</v>
      </c>
      <c r="I770" s="160">
        <v>0</v>
      </c>
      <c r="J770" s="15">
        <v>822950</v>
      </c>
      <c r="K770" s="25">
        <v>41320</v>
      </c>
      <c r="L770" s="285"/>
    </row>
    <row r="771" spans="1:12" s="277" customFormat="1" x14ac:dyDescent="0.25">
      <c r="A771" s="8" t="s">
        <v>0</v>
      </c>
      <c r="B771" s="39" t="s">
        <v>485</v>
      </c>
      <c r="C771" s="18" t="s">
        <v>4</v>
      </c>
      <c r="D771" s="11">
        <v>66</v>
      </c>
      <c r="E771" s="12" t="s">
        <v>759</v>
      </c>
      <c r="F771" s="12" t="s">
        <v>2</v>
      </c>
      <c r="G771" s="12" t="s">
        <v>461</v>
      </c>
      <c r="H771" s="12" t="s">
        <v>461</v>
      </c>
      <c r="I771" s="160">
        <v>0</v>
      </c>
      <c r="J771" s="15">
        <v>10619166.67</v>
      </c>
      <c r="K771" s="25" t="s">
        <v>461</v>
      </c>
      <c r="L771" s="285"/>
    </row>
    <row r="772" spans="1:12" s="277" customFormat="1" x14ac:dyDescent="0.25">
      <c r="A772" s="8" t="s">
        <v>0</v>
      </c>
      <c r="B772" s="39" t="s">
        <v>486</v>
      </c>
      <c r="C772" s="19" t="s">
        <v>4</v>
      </c>
      <c r="D772" s="11">
        <v>47</v>
      </c>
      <c r="E772" s="12" t="s">
        <v>758</v>
      </c>
      <c r="F772" s="12" t="s">
        <v>2</v>
      </c>
      <c r="G772" s="12" t="s">
        <v>461</v>
      </c>
      <c r="H772" s="13" t="s">
        <v>461</v>
      </c>
      <c r="I772" s="160">
        <v>0</v>
      </c>
      <c r="J772" s="15">
        <v>192415.03</v>
      </c>
      <c r="K772" s="25" t="s">
        <v>461</v>
      </c>
      <c r="L772" s="285"/>
    </row>
    <row r="773" spans="1:12" s="277" customFormat="1" x14ac:dyDescent="0.25">
      <c r="A773" s="8" t="s">
        <v>0</v>
      </c>
      <c r="B773" s="39" t="s">
        <v>487</v>
      </c>
      <c r="C773" s="18" t="s">
        <v>5</v>
      </c>
      <c r="D773" s="11">
        <v>65</v>
      </c>
      <c r="E773" s="12" t="s">
        <v>758</v>
      </c>
      <c r="F773" s="12" t="s">
        <v>2</v>
      </c>
      <c r="G773" s="12" t="s">
        <v>461</v>
      </c>
      <c r="H773" s="12" t="s">
        <v>461</v>
      </c>
      <c r="I773" s="160">
        <v>0</v>
      </c>
      <c r="J773" s="15">
        <v>501324.64</v>
      </c>
      <c r="K773" s="25" t="s">
        <v>461</v>
      </c>
      <c r="L773" s="285"/>
    </row>
    <row r="774" spans="1:12" s="277" customFormat="1" x14ac:dyDescent="0.25">
      <c r="A774" s="8" t="s">
        <v>0</v>
      </c>
      <c r="B774" s="39" t="s">
        <v>488</v>
      </c>
      <c r="C774" s="18" t="s">
        <v>5</v>
      </c>
      <c r="D774" s="11">
        <v>65</v>
      </c>
      <c r="E774" s="12" t="s">
        <v>758</v>
      </c>
      <c r="F774" s="12" t="s">
        <v>2</v>
      </c>
      <c r="G774" s="12" t="s">
        <v>461</v>
      </c>
      <c r="H774" s="12" t="s">
        <v>461</v>
      </c>
      <c r="I774" s="160">
        <v>0</v>
      </c>
      <c r="J774" s="15">
        <v>2336115.75</v>
      </c>
      <c r="K774" s="25" t="s">
        <v>461</v>
      </c>
      <c r="L774" s="285"/>
    </row>
    <row r="775" spans="1:12" s="277" customFormat="1" x14ac:dyDescent="0.25">
      <c r="A775" s="8" t="s">
        <v>0</v>
      </c>
      <c r="B775" s="39" t="s">
        <v>489</v>
      </c>
      <c r="C775" s="18" t="s">
        <v>5</v>
      </c>
      <c r="D775" s="11">
        <v>92</v>
      </c>
      <c r="E775" s="12" t="s">
        <v>758</v>
      </c>
      <c r="F775" s="8" t="s">
        <v>2</v>
      </c>
      <c r="G775" s="12" t="s">
        <v>461</v>
      </c>
      <c r="H775" s="12" t="s">
        <v>461</v>
      </c>
      <c r="I775" s="160">
        <v>0</v>
      </c>
      <c r="J775" s="15">
        <v>6592186.0600000005</v>
      </c>
      <c r="K775" s="25" t="s">
        <v>461</v>
      </c>
      <c r="L775" s="285"/>
    </row>
    <row r="776" spans="1:12" s="277" customFormat="1" x14ac:dyDescent="0.25">
      <c r="A776" s="8" t="s">
        <v>0</v>
      </c>
      <c r="B776" s="39" t="s">
        <v>490</v>
      </c>
      <c r="C776" s="18" t="s">
        <v>83</v>
      </c>
      <c r="D776" s="11">
        <v>42</v>
      </c>
      <c r="E776" s="12" t="s">
        <v>759</v>
      </c>
      <c r="F776" s="13" t="s">
        <v>2</v>
      </c>
      <c r="G776" s="12" t="s">
        <v>461</v>
      </c>
      <c r="H776" s="12" t="s">
        <v>461</v>
      </c>
      <c r="I776" s="160">
        <v>0</v>
      </c>
      <c r="J776" s="15">
        <v>190215.11</v>
      </c>
      <c r="K776" s="25" t="s">
        <v>461</v>
      </c>
      <c r="L776" s="285"/>
    </row>
    <row r="777" spans="1:12" s="277" customFormat="1" x14ac:dyDescent="0.25">
      <c r="A777" s="8" t="s">
        <v>0</v>
      </c>
      <c r="B777" s="39" t="s">
        <v>491</v>
      </c>
      <c r="C777" s="18" t="s">
        <v>5</v>
      </c>
      <c r="D777" s="17" t="s">
        <v>1260</v>
      </c>
      <c r="E777" s="12" t="s">
        <v>758</v>
      </c>
      <c r="F777" s="8" t="s">
        <v>2</v>
      </c>
      <c r="G777" s="12" t="s">
        <v>461</v>
      </c>
      <c r="H777" s="12" t="s">
        <v>461</v>
      </c>
      <c r="I777" s="160">
        <v>0</v>
      </c>
      <c r="J777" s="15">
        <v>4492402.3299999991</v>
      </c>
      <c r="K777" s="25" t="s">
        <v>461</v>
      </c>
      <c r="L777" s="285"/>
    </row>
    <row r="778" spans="1:12" s="277" customFormat="1" x14ac:dyDescent="0.25">
      <c r="A778" s="281" t="s">
        <v>0</v>
      </c>
      <c r="B778" s="253" t="s">
        <v>492</v>
      </c>
      <c r="C778" s="254" t="s">
        <v>5</v>
      </c>
      <c r="D778" s="280">
        <v>92</v>
      </c>
      <c r="E778" s="278" t="s">
        <v>759</v>
      </c>
      <c r="F778" s="281" t="s">
        <v>2</v>
      </c>
      <c r="G778" s="12" t="s">
        <v>461</v>
      </c>
      <c r="H778" s="12" t="s">
        <v>461</v>
      </c>
      <c r="I778" s="160">
        <v>0</v>
      </c>
      <c r="J778" s="15">
        <v>1172766.4099999999</v>
      </c>
      <c r="K778" s="258" t="s">
        <v>461</v>
      </c>
      <c r="L778" s="285"/>
    </row>
    <row r="779" spans="1:12" s="277" customFormat="1" x14ac:dyDescent="0.25">
      <c r="A779" s="8" t="s">
        <v>0</v>
      </c>
      <c r="B779" s="39" t="s">
        <v>493</v>
      </c>
      <c r="C779" s="18" t="s">
        <v>4</v>
      </c>
      <c r="D779" s="11" t="s">
        <v>1260</v>
      </c>
      <c r="E779" s="12" t="s">
        <v>758</v>
      </c>
      <c r="F779" s="12" t="s">
        <v>2</v>
      </c>
      <c r="G779" s="12" t="s">
        <v>461</v>
      </c>
      <c r="H779" s="12" t="s">
        <v>461</v>
      </c>
      <c r="I779" s="160">
        <v>0</v>
      </c>
      <c r="J779" s="15">
        <v>11287500</v>
      </c>
      <c r="K779" s="13" t="s">
        <v>461</v>
      </c>
      <c r="L779" s="285"/>
    </row>
    <row r="780" spans="1:12" s="277" customFormat="1" x14ac:dyDescent="0.25">
      <c r="A780" s="8" t="s">
        <v>0</v>
      </c>
      <c r="B780" s="32" t="s">
        <v>589</v>
      </c>
      <c r="C780" s="18" t="s">
        <v>5</v>
      </c>
      <c r="D780" s="11">
        <v>65</v>
      </c>
      <c r="E780" s="12" t="s">
        <v>758</v>
      </c>
      <c r="F780" s="12" t="s">
        <v>2</v>
      </c>
      <c r="G780" s="12" t="s">
        <v>461</v>
      </c>
      <c r="H780" s="12" t="s">
        <v>461</v>
      </c>
      <c r="I780" s="160">
        <v>0</v>
      </c>
      <c r="J780" s="15">
        <v>1475133.27</v>
      </c>
      <c r="K780" s="25" t="s">
        <v>461</v>
      </c>
      <c r="L780" s="285"/>
    </row>
    <row r="781" spans="1:12" s="277" customFormat="1" x14ac:dyDescent="0.25">
      <c r="A781" s="8" t="s">
        <v>0</v>
      </c>
      <c r="B781" s="39" t="s">
        <v>494</v>
      </c>
      <c r="C781" s="18" t="s">
        <v>4</v>
      </c>
      <c r="D781" s="11" t="s">
        <v>1260</v>
      </c>
      <c r="E781" s="12" t="s">
        <v>758</v>
      </c>
      <c r="F781" s="12" t="s">
        <v>2</v>
      </c>
      <c r="G781" s="12" t="s">
        <v>461</v>
      </c>
      <c r="H781" s="12" t="s">
        <v>461</v>
      </c>
      <c r="I781" s="160">
        <v>0</v>
      </c>
      <c r="J781" s="15">
        <v>195220416.67000002</v>
      </c>
      <c r="K781" s="13" t="s">
        <v>461</v>
      </c>
      <c r="L781" s="285"/>
    </row>
    <row r="782" spans="1:12" s="277" customFormat="1" x14ac:dyDescent="0.25">
      <c r="A782" s="8" t="s">
        <v>0</v>
      </c>
      <c r="B782" s="9" t="s">
        <v>671</v>
      </c>
      <c r="C782" s="18" t="s">
        <v>5</v>
      </c>
      <c r="D782" s="11"/>
      <c r="E782" s="12" t="s">
        <v>759</v>
      </c>
      <c r="F782" s="12" t="s">
        <v>2</v>
      </c>
      <c r="G782" s="12" t="s">
        <v>461</v>
      </c>
      <c r="H782" s="12" t="s">
        <v>461</v>
      </c>
      <c r="I782" s="160">
        <v>0</v>
      </c>
      <c r="J782" s="15">
        <v>745311.72</v>
      </c>
      <c r="K782" s="25">
        <v>41320</v>
      </c>
      <c r="L782" s="285"/>
    </row>
    <row r="783" spans="1:12" s="277" customFormat="1" x14ac:dyDescent="0.25">
      <c r="A783" s="8" t="s">
        <v>0</v>
      </c>
      <c r="B783" s="39" t="s">
        <v>495</v>
      </c>
      <c r="C783" s="18" t="s">
        <v>5</v>
      </c>
      <c r="D783" s="11">
        <v>65</v>
      </c>
      <c r="E783" s="12" t="s">
        <v>758</v>
      </c>
      <c r="F783" s="12" t="s">
        <v>2</v>
      </c>
      <c r="G783" s="12" t="s">
        <v>461</v>
      </c>
      <c r="H783" s="12" t="s">
        <v>461</v>
      </c>
      <c r="I783" s="160">
        <v>0</v>
      </c>
      <c r="J783" s="15">
        <v>1234911.78</v>
      </c>
      <c r="K783" s="25" t="s">
        <v>461</v>
      </c>
      <c r="L783" s="285"/>
    </row>
    <row r="784" spans="1:12" s="277" customFormat="1" x14ac:dyDescent="0.25">
      <c r="A784" s="8" t="s">
        <v>0</v>
      </c>
      <c r="B784" s="39" t="s">
        <v>496</v>
      </c>
      <c r="C784" s="18" t="s">
        <v>4</v>
      </c>
      <c r="D784" s="17" t="s">
        <v>738</v>
      </c>
      <c r="E784" s="12" t="s">
        <v>758</v>
      </c>
      <c r="F784" s="12" t="s">
        <v>2</v>
      </c>
      <c r="G784" s="12" t="s">
        <v>461</v>
      </c>
      <c r="H784" s="12" t="s">
        <v>461</v>
      </c>
      <c r="I784" s="160">
        <v>0</v>
      </c>
      <c r="J784" s="15">
        <v>7509920.0700000003</v>
      </c>
      <c r="K784" s="13" t="s">
        <v>461</v>
      </c>
      <c r="L784" s="285"/>
    </row>
    <row r="785" spans="1:12" s="277" customFormat="1" x14ac:dyDescent="0.25">
      <c r="A785" s="8" t="s">
        <v>0</v>
      </c>
      <c r="B785" s="39" t="s">
        <v>497</v>
      </c>
      <c r="C785" s="18" t="s">
        <v>4</v>
      </c>
      <c r="D785" s="11">
        <v>3</v>
      </c>
      <c r="E785" s="12" t="s">
        <v>758</v>
      </c>
      <c r="F785" s="12" t="s">
        <v>2</v>
      </c>
      <c r="G785" s="12" t="s">
        <v>461</v>
      </c>
      <c r="H785" s="12" t="s">
        <v>461</v>
      </c>
      <c r="I785" s="160">
        <v>0</v>
      </c>
      <c r="J785" s="15">
        <v>13475554.58</v>
      </c>
      <c r="K785" s="25" t="s">
        <v>461</v>
      </c>
      <c r="L785" s="285"/>
    </row>
    <row r="786" spans="1:12" s="277" customFormat="1" x14ac:dyDescent="0.25">
      <c r="A786" s="8" t="s">
        <v>0</v>
      </c>
      <c r="B786" s="32" t="s">
        <v>579</v>
      </c>
      <c r="C786" s="18" t="s">
        <v>5</v>
      </c>
      <c r="D786" s="11">
        <v>66</v>
      </c>
      <c r="E786" s="12" t="s">
        <v>759</v>
      </c>
      <c r="F786" s="12" t="s">
        <v>2</v>
      </c>
      <c r="G786" s="12" t="s">
        <v>461</v>
      </c>
      <c r="H786" s="12" t="s">
        <v>461</v>
      </c>
      <c r="I786" s="160">
        <v>0</v>
      </c>
      <c r="J786" s="15">
        <v>680291.65</v>
      </c>
      <c r="K786" s="25" t="s">
        <v>461</v>
      </c>
      <c r="L786" s="285"/>
    </row>
    <row r="787" spans="1:12" s="250" customFormat="1" x14ac:dyDescent="0.25">
      <c r="A787" s="8" t="s">
        <v>0</v>
      </c>
      <c r="B787" s="9" t="s">
        <v>498</v>
      </c>
      <c r="C787" s="18" t="s">
        <v>4</v>
      </c>
      <c r="D787" s="17" t="s">
        <v>734</v>
      </c>
      <c r="E787" s="12" t="s">
        <v>758</v>
      </c>
      <c r="F787" s="12" t="s">
        <v>2</v>
      </c>
      <c r="G787" s="12" t="s">
        <v>461</v>
      </c>
      <c r="H787" s="12" t="s">
        <v>461</v>
      </c>
      <c r="I787" s="160">
        <v>0</v>
      </c>
      <c r="J787" s="15">
        <v>2695972.2199999997</v>
      </c>
      <c r="K787" s="13" t="s">
        <v>461</v>
      </c>
      <c r="L787" s="285"/>
    </row>
    <row r="788" spans="1:12" s="277" customFormat="1" x14ac:dyDescent="0.25">
      <c r="A788" s="8" t="s">
        <v>0</v>
      </c>
      <c r="B788" s="9" t="s">
        <v>724</v>
      </c>
      <c r="C788" s="18" t="s">
        <v>5</v>
      </c>
      <c r="D788" s="11"/>
      <c r="E788" s="12" t="s">
        <v>758</v>
      </c>
      <c r="F788" s="12" t="s">
        <v>2</v>
      </c>
      <c r="G788" s="12" t="s">
        <v>461</v>
      </c>
      <c r="H788" s="12" t="s">
        <v>461</v>
      </c>
      <c r="I788" s="160">
        <v>0</v>
      </c>
      <c r="J788" s="15">
        <v>321202.22000000003</v>
      </c>
      <c r="K788" s="25">
        <v>41320</v>
      </c>
      <c r="L788" s="285"/>
    </row>
    <row r="789" spans="1:12" s="277" customFormat="1" x14ac:dyDescent="0.25">
      <c r="A789" s="8" t="s">
        <v>0</v>
      </c>
      <c r="B789" s="39" t="s">
        <v>499</v>
      </c>
      <c r="C789" s="18" t="s">
        <v>5</v>
      </c>
      <c r="D789" s="11"/>
      <c r="E789" s="12" t="s">
        <v>759</v>
      </c>
      <c r="F789" s="8" t="s">
        <v>2</v>
      </c>
      <c r="G789" s="12" t="s">
        <v>461</v>
      </c>
      <c r="H789" s="12" t="s">
        <v>461</v>
      </c>
      <c r="I789" s="160">
        <v>0</v>
      </c>
      <c r="J789" s="15">
        <v>0</v>
      </c>
      <c r="K789" s="25">
        <v>41320</v>
      </c>
      <c r="L789" s="285"/>
    </row>
    <row r="790" spans="1:12" s="277" customFormat="1" x14ac:dyDescent="0.25">
      <c r="A790" s="8" t="s">
        <v>0</v>
      </c>
      <c r="B790" s="39" t="s">
        <v>500</v>
      </c>
      <c r="C790" s="18" t="s">
        <v>4</v>
      </c>
      <c r="D790" s="11">
        <v>80</v>
      </c>
      <c r="E790" s="12" t="s">
        <v>758</v>
      </c>
      <c r="F790" s="12" t="s">
        <v>2</v>
      </c>
      <c r="G790" s="12" t="s">
        <v>461</v>
      </c>
      <c r="H790" s="12" t="s">
        <v>461</v>
      </c>
      <c r="I790" s="160">
        <v>0</v>
      </c>
      <c r="J790" s="15">
        <v>3527704.2199999997</v>
      </c>
      <c r="K790" s="12" t="s">
        <v>461</v>
      </c>
      <c r="L790" s="285"/>
    </row>
    <row r="791" spans="1:12" s="277" customFormat="1" x14ac:dyDescent="0.25">
      <c r="A791" s="8" t="s">
        <v>0</v>
      </c>
      <c r="B791" s="39" t="s">
        <v>501</v>
      </c>
      <c r="C791" s="18" t="s">
        <v>4</v>
      </c>
      <c r="D791" s="11">
        <v>42</v>
      </c>
      <c r="E791" s="12" t="s">
        <v>758</v>
      </c>
      <c r="F791" s="12" t="s">
        <v>2</v>
      </c>
      <c r="G791" s="12" t="s">
        <v>461</v>
      </c>
      <c r="H791" s="12" t="s">
        <v>461</v>
      </c>
      <c r="I791" s="160">
        <v>0</v>
      </c>
      <c r="J791" s="15">
        <v>872638.89</v>
      </c>
      <c r="K791" s="25" t="s">
        <v>461</v>
      </c>
      <c r="L791" s="285"/>
    </row>
    <row r="792" spans="1:12" s="285" customFormat="1" ht="15" customHeight="1" x14ac:dyDescent="0.25">
      <c r="A792" s="8" t="s">
        <v>0</v>
      </c>
      <c r="B792" s="21" t="s">
        <v>608</v>
      </c>
      <c r="C792" s="44" t="s">
        <v>560</v>
      </c>
      <c r="D792" s="23" t="s">
        <v>1260</v>
      </c>
      <c r="E792" s="8" t="s">
        <v>661</v>
      </c>
      <c r="F792" s="30" t="s">
        <v>2</v>
      </c>
      <c r="G792" s="12" t="s">
        <v>461</v>
      </c>
      <c r="H792" s="12" t="s">
        <v>461</v>
      </c>
      <c r="I792" s="160">
        <v>0</v>
      </c>
      <c r="J792" s="15">
        <v>3762079.44</v>
      </c>
      <c r="K792" s="25" t="s">
        <v>461</v>
      </c>
    </row>
    <row r="793" spans="1:12" s="277" customFormat="1" x14ac:dyDescent="0.25">
      <c r="A793" s="8" t="s">
        <v>0</v>
      </c>
      <c r="B793" s="39" t="s">
        <v>502</v>
      </c>
      <c r="C793" s="18" t="s">
        <v>4</v>
      </c>
      <c r="D793" s="17"/>
      <c r="E793" s="12" t="s">
        <v>758</v>
      </c>
      <c r="F793" s="8" t="s">
        <v>2</v>
      </c>
      <c r="G793" s="12" t="s">
        <v>461</v>
      </c>
      <c r="H793" s="12" t="s">
        <v>461</v>
      </c>
      <c r="I793" s="160">
        <v>0</v>
      </c>
      <c r="J793" s="15">
        <v>35518750</v>
      </c>
      <c r="K793" s="25">
        <v>41320</v>
      </c>
      <c r="L793" s="285"/>
    </row>
    <row r="794" spans="1:12" s="277" customFormat="1" x14ac:dyDescent="0.25">
      <c r="A794" s="8" t="s">
        <v>0</v>
      </c>
      <c r="B794" s="39" t="s">
        <v>503</v>
      </c>
      <c r="C794" s="18" t="s">
        <v>5</v>
      </c>
      <c r="D794" s="11">
        <v>65</v>
      </c>
      <c r="E794" s="12" t="s">
        <v>758</v>
      </c>
      <c r="F794" s="12" t="s">
        <v>2</v>
      </c>
      <c r="G794" s="12" t="s">
        <v>461</v>
      </c>
      <c r="H794" s="12" t="s">
        <v>461</v>
      </c>
      <c r="I794" s="160">
        <v>0</v>
      </c>
      <c r="J794" s="15">
        <v>708963.91999999993</v>
      </c>
      <c r="K794" s="25" t="s">
        <v>461</v>
      </c>
      <c r="L794" s="285"/>
    </row>
    <row r="795" spans="1:12" s="277" customFormat="1" x14ac:dyDescent="0.25">
      <c r="A795" s="8" t="s">
        <v>0</v>
      </c>
      <c r="B795" s="39" t="s">
        <v>504</v>
      </c>
      <c r="C795" s="18" t="s">
        <v>4</v>
      </c>
      <c r="D795" s="11"/>
      <c r="E795" s="12" t="s">
        <v>758</v>
      </c>
      <c r="F795" s="8" t="s">
        <v>2</v>
      </c>
      <c r="G795" s="12" t="s">
        <v>461</v>
      </c>
      <c r="H795" s="12" t="s">
        <v>461</v>
      </c>
      <c r="I795" s="160">
        <v>0</v>
      </c>
      <c r="J795" s="15">
        <v>4072442.17</v>
      </c>
      <c r="K795" s="25">
        <v>41320</v>
      </c>
      <c r="L795" s="285"/>
    </row>
    <row r="796" spans="1:12" s="277" customFormat="1" x14ac:dyDescent="0.25">
      <c r="A796" s="8" t="s">
        <v>0</v>
      </c>
      <c r="B796" s="32" t="s">
        <v>580</v>
      </c>
      <c r="C796" s="18" t="s">
        <v>5</v>
      </c>
      <c r="D796" s="11"/>
      <c r="E796" s="12" t="s">
        <v>758</v>
      </c>
      <c r="F796" s="8" t="s">
        <v>2</v>
      </c>
      <c r="G796" s="12" t="s">
        <v>461</v>
      </c>
      <c r="H796" s="12" t="s">
        <v>461</v>
      </c>
      <c r="I796" s="160">
        <v>0</v>
      </c>
      <c r="J796" s="15">
        <v>1877933.67</v>
      </c>
      <c r="K796" s="25">
        <v>41320</v>
      </c>
      <c r="L796" s="285"/>
    </row>
    <row r="797" spans="1:12" s="285" customFormat="1" ht="15" customHeight="1" x14ac:dyDescent="0.25">
      <c r="A797" s="8" t="s">
        <v>0</v>
      </c>
      <c r="B797" s="39" t="s">
        <v>637</v>
      </c>
      <c r="C797" s="45" t="s">
        <v>610</v>
      </c>
      <c r="D797" s="11">
        <v>42</v>
      </c>
      <c r="E797" s="8" t="s">
        <v>661</v>
      </c>
      <c r="F797" s="30" t="s">
        <v>2</v>
      </c>
      <c r="G797" s="12" t="s">
        <v>461</v>
      </c>
      <c r="H797" s="12" t="s">
        <v>461</v>
      </c>
      <c r="I797" s="160">
        <v>0</v>
      </c>
      <c r="J797" s="15">
        <v>1022886.4</v>
      </c>
      <c r="K797" s="25" t="s">
        <v>461</v>
      </c>
    </row>
    <row r="798" spans="1:12" s="277" customFormat="1" x14ac:dyDescent="0.25">
      <c r="A798" s="8" t="s">
        <v>0</v>
      </c>
      <c r="B798" s="39" t="s">
        <v>505</v>
      </c>
      <c r="C798" s="18" t="s">
        <v>5</v>
      </c>
      <c r="D798" s="11"/>
      <c r="E798" s="12" t="s">
        <v>759</v>
      </c>
      <c r="F798" s="8" t="s">
        <v>2</v>
      </c>
      <c r="G798" s="12" t="s">
        <v>461</v>
      </c>
      <c r="H798" s="12" t="s">
        <v>461</v>
      </c>
      <c r="I798" s="160">
        <v>0</v>
      </c>
      <c r="J798" s="15">
        <v>432678</v>
      </c>
      <c r="K798" s="25">
        <v>41320</v>
      </c>
      <c r="L798" s="285"/>
    </row>
    <row r="799" spans="1:12" s="277" customFormat="1" x14ac:dyDescent="0.25">
      <c r="A799" s="8" t="s">
        <v>0</v>
      </c>
      <c r="B799" s="39" t="s">
        <v>506</v>
      </c>
      <c r="C799" s="18" t="s">
        <v>5</v>
      </c>
      <c r="D799" s="11"/>
      <c r="E799" s="12" t="s">
        <v>758</v>
      </c>
      <c r="F799" s="8" t="s">
        <v>2</v>
      </c>
      <c r="G799" s="12" t="s">
        <v>461</v>
      </c>
      <c r="H799" s="12" t="s">
        <v>461</v>
      </c>
      <c r="I799" s="160">
        <v>0</v>
      </c>
      <c r="J799" s="15">
        <v>2122472.2199999997</v>
      </c>
      <c r="K799" s="25">
        <v>41320</v>
      </c>
      <c r="L799" s="285"/>
    </row>
    <row r="800" spans="1:12" s="277" customFormat="1" x14ac:dyDescent="0.25">
      <c r="A800" s="8" t="s">
        <v>0</v>
      </c>
      <c r="B800" s="9" t="s">
        <v>507</v>
      </c>
      <c r="C800" s="18" t="s">
        <v>5</v>
      </c>
      <c r="D800" s="11" t="s">
        <v>1260</v>
      </c>
      <c r="E800" s="12" t="s">
        <v>758</v>
      </c>
      <c r="F800" s="8" t="s">
        <v>2</v>
      </c>
      <c r="G800" s="12" t="s">
        <v>461</v>
      </c>
      <c r="H800" s="12" t="s">
        <v>461</v>
      </c>
      <c r="I800" s="160">
        <v>0</v>
      </c>
      <c r="J800" s="15">
        <v>1318400.5</v>
      </c>
      <c r="K800" s="25" t="s">
        <v>461</v>
      </c>
      <c r="L800" s="285"/>
    </row>
    <row r="801" spans="1:12" s="277" customFormat="1" x14ac:dyDescent="0.25">
      <c r="A801" s="8" t="s">
        <v>0</v>
      </c>
      <c r="B801" s="39" t="s">
        <v>508</v>
      </c>
      <c r="C801" s="18" t="s">
        <v>5</v>
      </c>
      <c r="D801" s="11"/>
      <c r="E801" s="12" t="s">
        <v>759</v>
      </c>
      <c r="F801" s="8" t="s">
        <v>2</v>
      </c>
      <c r="G801" s="12" t="s">
        <v>461</v>
      </c>
      <c r="H801" s="12" t="s">
        <v>461</v>
      </c>
      <c r="I801" s="160">
        <v>0</v>
      </c>
      <c r="J801" s="15">
        <v>629475.5</v>
      </c>
      <c r="K801" s="25">
        <v>41320</v>
      </c>
      <c r="L801" s="285"/>
    </row>
    <row r="802" spans="1:12" s="277" customFormat="1" x14ac:dyDescent="0.25">
      <c r="A802" s="281" t="s">
        <v>0</v>
      </c>
      <c r="B802" s="253" t="s">
        <v>509</v>
      </c>
      <c r="C802" s="254" t="s">
        <v>4</v>
      </c>
      <c r="D802" s="280"/>
      <c r="E802" s="278" t="s">
        <v>758</v>
      </c>
      <c r="F802" s="8" t="s">
        <v>2</v>
      </c>
      <c r="G802" s="12" t="s">
        <v>461</v>
      </c>
      <c r="H802" s="12" t="s">
        <v>461</v>
      </c>
      <c r="I802" s="160">
        <v>0</v>
      </c>
      <c r="J802" s="15">
        <v>3181683.1999999997</v>
      </c>
      <c r="K802" s="25">
        <v>41320</v>
      </c>
      <c r="L802" s="285"/>
    </row>
    <row r="803" spans="1:12" s="277" customFormat="1" x14ac:dyDescent="0.25">
      <c r="A803" s="8" t="s">
        <v>0</v>
      </c>
      <c r="B803" s="9" t="s">
        <v>721</v>
      </c>
      <c r="C803" s="18" t="s">
        <v>5</v>
      </c>
      <c r="D803" s="11">
        <v>65</v>
      </c>
      <c r="E803" s="12" t="s">
        <v>758</v>
      </c>
      <c r="F803" s="12" t="s">
        <v>2</v>
      </c>
      <c r="G803" s="12" t="s">
        <v>461</v>
      </c>
      <c r="H803" s="12" t="s">
        <v>461</v>
      </c>
      <c r="I803" s="160">
        <v>0</v>
      </c>
      <c r="J803" s="15">
        <v>124774.73</v>
      </c>
      <c r="K803" s="25" t="s">
        <v>461</v>
      </c>
      <c r="L803" s="285"/>
    </row>
    <row r="804" spans="1:12" s="277" customFormat="1" x14ac:dyDescent="0.25">
      <c r="A804" s="8" t="s">
        <v>0</v>
      </c>
      <c r="B804" s="39" t="s">
        <v>510</v>
      </c>
      <c r="C804" s="18" t="s">
        <v>4</v>
      </c>
      <c r="D804" s="11" t="s">
        <v>1260</v>
      </c>
      <c r="E804" s="12" t="s">
        <v>758</v>
      </c>
      <c r="F804" s="12" t="s">
        <v>2</v>
      </c>
      <c r="G804" s="12" t="s">
        <v>461</v>
      </c>
      <c r="H804" s="12" t="s">
        <v>461</v>
      </c>
      <c r="I804" s="160">
        <v>0</v>
      </c>
      <c r="J804" s="15">
        <v>12979166.67</v>
      </c>
      <c r="K804" s="13" t="s">
        <v>461</v>
      </c>
      <c r="L804" s="285"/>
    </row>
    <row r="805" spans="1:12" s="277" customFormat="1" x14ac:dyDescent="0.25">
      <c r="A805" s="8" t="s">
        <v>0</v>
      </c>
      <c r="B805" s="32" t="s">
        <v>581</v>
      </c>
      <c r="C805" s="18" t="s">
        <v>4</v>
      </c>
      <c r="D805" s="11"/>
      <c r="E805" s="12" t="s">
        <v>758</v>
      </c>
      <c r="F805" s="8" t="s">
        <v>2</v>
      </c>
      <c r="G805" s="12" t="s">
        <v>461</v>
      </c>
      <c r="H805" s="12" t="s">
        <v>461</v>
      </c>
      <c r="I805" s="160">
        <v>0</v>
      </c>
      <c r="J805" s="15">
        <v>1318232.22</v>
      </c>
      <c r="K805" s="25">
        <v>41320</v>
      </c>
      <c r="L805" s="285"/>
    </row>
    <row r="806" spans="1:12" s="277" customFormat="1" x14ac:dyDescent="0.25">
      <c r="A806" s="8" t="s">
        <v>0</v>
      </c>
      <c r="B806" s="39" t="s">
        <v>511</v>
      </c>
      <c r="C806" s="18" t="s">
        <v>4</v>
      </c>
      <c r="D806" s="11" t="s">
        <v>1260</v>
      </c>
      <c r="E806" s="12" t="s">
        <v>758</v>
      </c>
      <c r="F806" s="8" t="s">
        <v>2</v>
      </c>
      <c r="G806" s="12" t="s">
        <v>461</v>
      </c>
      <c r="H806" s="13" t="s">
        <v>461</v>
      </c>
      <c r="I806" s="160">
        <v>0</v>
      </c>
      <c r="J806" s="15">
        <v>14190138.890000001</v>
      </c>
      <c r="K806" s="25" t="s">
        <v>461</v>
      </c>
      <c r="L806" s="285"/>
    </row>
    <row r="807" spans="1:12" s="277" customFormat="1" x14ac:dyDescent="0.25">
      <c r="A807" s="8" t="s">
        <v>0</v>
      </c>
      <c r="B807" s="39" t="s">
        <v>614</v>
      </c>
      <c r="C807" s="18" t="s">
        <v>5</v>
      </c>
      <c r="D807" s="11"/>
      <c r="E807" s="12" t="s">
        <v>759</v>
      </c>
      <c r="F807" s="8" t="s">
        <v>2</v>
      </c>
      <c r="G807" s="12" t="s">
        <v>461</v>
      </c>
      <c r="H807" s="12" t="s">
        <v>461</v>
      </c>
      <c r="I807" s="160">
        <v>0</v>
      </c>
      <c r="J807" s="15">
        <v>786987.25</v>
      </c>
      <c r="K807" s="25">
        <v>41320</v>
      </c>
      <c r="L807" s="285"/>
    </row>
    <row r="808" spans="1:12" s="277" customFormat="1" x14ac:dyDescent="0.25">
      <c r="A808" s="8" t="s">
        <v>0</v>
      </c>
      <c r="B808" s="39" t="s">
        <v>512</v>
      </c>
      <c r="C808" s="18" t="s">
        <v>5</v>
      </c>
      <c r="D808" s="11">
        <v>18</v>
      </c>
      <c r="E808" s="12" t="s">
        <v>759</v>
      </c>
      <c r="F808" s="8" t="s">
        <v>2</v>
      </c>
      <c r="G808" s="12" t="s">
        <v>461</v>
      </c>
      <c r="H808" s="13" t="s">
        <v>461</v>
      </c>
      <c r="I808" s="160">
        <v>0</v>
      </c>
      <c r="J808" s="15">
        <v>295597.13</v>
      </c>
      <c r="K808" s="25">
        <v>41320</v>
      </c>
      <c r="L808" s="285"/>
    </row>
    <row r="809" spans="1:12" s="277" customFormat="1" x14ac:dyDescent="0.25">
      <c r="A809" s="8" t="s">
        <v>0</v>
      </c>
      <c r="B809" s="39" t="s">
        <v>513</v>
      </c>
      <c r="C809" s="18" t="s">
        <v>4</v>
      </c>
      <c r="D809" s="11">
        <v>88</v>
      </c>
      <c r="E809" s="12" t="s">
        <v>758</v>
      </c>
      <c r="F809" s="8" t="s">
        <v>2</v>
      </c>
      <c r="G809" s="12" t="s">
        <v>461</v>
      </c>
      <c r="H809" s="12" t="s">
        <v>461</v>
      </c>
      <c r="I809" s="160">
        <v>0</v>
      </c>
      <c r="J809" s="15">
        <v>4520833.3299999991</v>
      </c>
      <c r="K809" s="25" t="s">
        <v>461</v>
      </c>
      <c r="L809" s="285"/>
    </row>
    <row r="810" spans="1:12" s="277" customFormat="1" x14ac:dyDescent="0.25">
      <c r="A810" s="8" t="s">
        <v>0</v>
      </c>
      <c r="B810" s="39" t="s">
        <v>514</v>
      </c>
      <c r="C810" s="18" t="s">
        <v>5</v>
      </c>
      <c r="D810" s="11">
        <v>66</v>
      </c>
      <c r="E810" s="12" t="s">
        <v>758</v>
      </c>
      <c r="F810" s="12" t="s">
        <v>2</v>
      </c>
      <c r="G810" s="12" t="s">
        <v>461</v>
      </c>
      <c r="H810" s="12" t="s">
        <v>461</v>
      </c>
      <c r="I810" s="160">
        <v>0</v>
      </c>
      <c r="J810" s="15">
        <v>15736874.33</v>
      </c>
      <c r="K810" s="25" t="s">
        <v>461</v>
      </c>
      <c r="L810" s="285"/>
    </row>
    <row r="811" spans="1:12" s="277" customFormat="1" x14ac:dyDescent="0.25">
      <c r="A811" s="8" t="s">
        <v>0</v>
      </c>
      <c r="B811" s="9" t="s">
        <v>717</v>
      </c>
      <c r="C811" s="18" t="s">
        <v>5</v>
      </c>
      <c r="D811" s="11"/>
      <c r="E811" s="12" t="s">
        <v>758</v>
      </c>
      <c r="F811" s="12" t="s">
        <v>2</v>
      </c>
      <c r="G811" s="12" t="s">
        <v>461</v>
      </c>
      <c r="H811" s="13">
        <v>41304</v>
      </c>
      <c r="I811" s="160">
        <v>41666.67</v>
      </c>
      <c r="J811" s="15">
        <v>1832203.0099999998</v>
      </c>
      <c r="K811" s="25">
        <v>41320</v>
      </c>
      <c r="L811" s="285"/>
    </row>
    <row r="812" spans="1:12" s="277" customFormat="1" x14ac:dyDescent="0.25">
      <c r="A812" s="8" t="s">
        <v>0</v>
      </c>
      <c r="B812" s="39" t="s">
        <v>515</v>
      </c>
      <c r="C812" s="18" t="s">
        <v>4</v>
      </c>
      <c r="D812" s="11" t="s">
        <v>1260</v>
      </c>
      <c r="E812" s="12" t="s">
        <v>759</v>
      </c>
      <c r="F812" s="12" t="s">
        <v>2</v>
      </c>
      <c r="G812" s="12" t="s">
        <v>461</v>
      </c>
      <c r="H812" s="12" t="s">
        <v>461</v>
      </c>
      <c r="I812" s="160">
        <v>0</v>
      </c>
      <c r="J812" s="15">
        <v>1023611.11</v>
      </c>
      <c r="K812" s="13" t="s">
        <v>461</v>
      </c>
      <c r="L812" s="285"/>
    </row>
    <row r="813" spans="1:12" s="277" customFormat="1" x14ac:dyDescent="0.25">
      <c r="A813" s="8" t="s">
        <v>0</v>
      </c>
      <c r="B813" s="39" t="s">
        <v>516</v>
      </c>
      <c r="C813" s="18" t="s">
        <v>4</v>
      </c>
      <c r="D813" s="11" t="s">
        <v>1260</v>
      </c>
      <c r="E813" s="12" t="s">
        <v>758</v>
      </c>
      <c r="F813" s="12" t="s">
        <v>2</v>
      </c>
      <c r="G813" s="12" t="s">
        <v>461</v>
      </c>
      <c r="H813" s="12" t="s">
        <v>461</v>
      </c>
      <c r="I813" s="160">
        <v>0</v>
      </c>
      <c r="J813" s="15">
        <v>2623344.4500000002</v>
      </c>
      <c r="K813" s="25" t="s">
        <v>461</v>
      </c>
      <c r="L813" s="285"/>
    </row>
    <row r="814" spans="1:12" s="277" customFormat="1" x14ac:dyDescent="0.25">
      <c r="A814" s="8" t="s">
        <v>0</v>
      </c>
      <c r="B814" s="39" t="s">
        <v>517</v>
      </c>
      <c r="C814" s="18" t="s">
        <v>4</v>
      </c>
      <c r="D814" s="11" t="s">
        <v>1260</v>
      </c>
      <c r="E814" s="12" t="s">
        <v>758</v>
      </c>
      <c r="F814" s="8" t="s">
        <v>2</v>
      </c>
      <c r="G814" s="12" t="s">
        <v>461</v>
      </c>
      <c r="H814" s="12" t="s">
        <v>461</v>
      </c>
      <c r="I814" s="160">
        <v>0</v>
      </c>
      <c r="J814" s="15">
        <v>5361111.1100000003</v>
      </c>
      <c r="K814" s="13" t="s">
        <v>461</v>
      </c>
      <c r="L814" s="285"/>
    </row>
    <row r="815" spans="1:12" s="50" customFormat="1" x14ac:dyDescent="0.25">
      <c r="A815" s="8" t="s">
        <v>0</v>
      </c>
      <c r="B815" s="9" t="s">
        <v>752</v>
      </c>
      <c r="C815" s="18" t="s">
        <v>5</v>
      </c>
      <c r="D815" s="17" t="s">
        <v>1147</v>
      </c>
      <c r="E815" s="12" t="s">
        <v>758</v>
      </c>
      <c r="F815" s="12" t="s">
        <v>2</v>
      </c>
      <c r="G815" s="12" t="s">
        <v>461</v>
      </c>
      <c r="H815" s="12" t="s">
        <v>461</v>
      </c>
      <c r="I815" s="160">
        <v>0</v>
      </c>
      <c r="J815" s="15">
        <v>1510317.8599999999</v>
      </c>
      <c r="K815" s="25" t="s">
        <v>461</v>
      </c>
      <c r="L815" s="285"/>
    </row>
    <row r="816" spans="1:12" x14ac:dyDescent="0.25">
      <c r="A816" s="8" t="s">
        <v>0</v>
      </c>
      <c r="B816" s="39" t="s">
        <v>618</v>
      </c>
      <c r="C816" s="18" t="s">
        <v>5</v>
      </c>
      <c r="D816" s="11"/>
      <c r="E816" s="12" t="s">
        <v>758</v>
      </c>
      <c r="F816" s="8" t="s">
        <v>2</v>
      </c>
      <c r="G816" s="12" t="s">
        <v>461</v>
      </c>
      <c r="H816" s="12" t="s">
        <v>461</v>
      </c>
      <c r="I816" s="160">
        <v>0</v>
      </c>
      <c r="J816" s="15">
        <v>1003846.47</v>
      </c>
      <c r="K816" s="25">
        <v>41320</v>
      </c>
      <c r="L816" s="285"/>
    </row>
    <row r="817" spans="1:12" x14ac:dyDescent="0.25">
      <c r="A817" s="8" t="s">
        <v>0</v>
      </c>
      <c r="B817" s="39" t="s">
        <v>518</v>
      </c>
      <c r="C817" s="18" t="s">
        <v>4</v>
      </c>
      <c r="D817" s="11" t="s">
        <v>1260</v>
      </c>
      <c r="E817" s="12" t="s">
        <v>758</v>
      </c>
      <c r="F817" s="12" t="s">
        <v>2</v>
      </c>
      <c r="G817" s="12" t="s">
        <v>461</v>
      </c>
      <c r="H817" s="12" t="s">
        <v>461</v>
      </c>
      <c r="I817" s="160">
        <v>0</v>
      </c>
      <c r="J817" s="15">
        <v>36944444.452222228</v>
      </c>
      <c r="K817" s="25" t="s">
        <v>461</v>
      </c>
      <c r="L817" s="285"/>
    </row>
    <row r="818" spans="1:12" x14ac:dyDescent="0.25">
      <c r="A818" s="8" t="s">
        <v>0</v>
      </c>
      <c r="B818" s="39" t="s">
        <v>519</v>
      </c>
      <c r="C818" s="18" t="s">
        <v>4</v>
      </c>
      <c r="D818" s="11" t="s">
        <v>1260</v>
      </c>
      <c r="E818" s="12" t="s">
        <v>758</v>
      </c>
      <c r="F818" s="12" t="s">
        <v>2</v>
      </c>
      <c r="G818" s="12" t="s">
        <v>461</v>
      </c>
      <c r="H818" s="12" t="s">
        <v>461</v>
      </c>
      <c r="I818" s="160">
        <v>0</v>
      </c>
      <c r="J818" s="15">
        <v>1440972222.22</v>
      </c>
      <c r="K818" s="13" t="s">
        <v>461</v>
      </c>
      <c r="L818" s="285"/>
    </row>
    <row r="819" spans="1:12" x14ac:dyDescent="0.25">
      <c r="A819" s="8" t="s">
        <v>0</v>
      </c>
      <c r="B819" s="39" t="s">
        <v>520</v>
      </c>
      <c r="C819" s="18" t="s">
        <v>4</v>
      </c>
      <c r="D819" s="11" t="s">
        <v>1260</v>
      </c>
      <c r="E819" s="12" t="s">
        <v>758</v>
      </c>
      <c r="F819" s="12" t="s">
        <v>2</v>
      </c>
      <c r="G819" s="12" t="s">
        <v>461</v>
      </c>
      <c r="H819" s="12" t="s">
        <v>461</v>
      </c>
      <c r="I819" s="160">
        <v>0</v>
      </c>
      <c r="J819" s="15">
        <v>2854166.67</v>
      </c>
      <c r="K819" s="13" t="s">
        <v>461</v>
      </c>
      <c r="L819" s="285"/>
    </row>
    <row r="820" spans="1:12" x14ac:dyDescent="0.25">
      <c r="A820" s="8" t="s">
        <v>0</v>
      </c>
      <c r="B820" s="39" t="s">
        <v>521</v>
      </c>
      <c r="C820" s="18" t="s">
        <v>4</v>
      </c>
      <c r="D820" s="11" t="s">
        <v>1260</v>
      </c>
      <c r="E820" s="12" t="s">
        <v>758</v>
      </c>
      <c r="F820" s="12" t="s">
        <v>2</v>
      </c>
      <c r="G820" s="12" t="s">
        <v>461</v>
      </c>
      <c r="H820" s="12" t="s">
        <v>461</v>
      </c>
      <c r="I820" s="160">
        <v>0</v>
      </c>
      <c r="J820" s="15">
        <v>4495000</v>
      </c>
      <c r="K820" s="25" t="s">
        <v>461</v>
      </c>
      <c r="L820" s="285"/>
    </row>
    <row r="821" spans="1:12" x14ac:dyDescent="0.25">
      <c r="A821" s="8" t="s">
        <v>0</v>
      </c>
      <c r="B821" s="39" t="s">
        <v>522</v>
      </c>
      <c r="C821" s="18" t="s">
        <v>4</v>
      </c>
      <c r="D821" s="11" t="s">
        <v>1260</v>
      </c>
      <c r="E821" s="12" t="s">
        <v>758</v>
      </c>
      <c r="F821" s="12" t="s">
        <v>2</v>
      </c>
      <c r="G821" s="12" t="s">
        <v>461</v>
      </c>
      <c r="H821" s="12" t="s">
        <v>461</v>
      </c>
      <c r="I821" s="160">
        <v>0</v>
      </c>
      <c r="J821" s="15">
        <v>2755980.61</v>
      </c>
      <c r="K821" s="13" t="s">
        <v>461</v>
      </c>
      <c r="L821" s="285"/>
    </row>
    <row r="822" spans="1:12" x14ac:dyDescent="0.25">
      <c r="A822" s="8" t="s">
        <v>0</v>
      </c>
      <c r="B822" s="39" t="s">
        <v>523</v>
      </c>
      <c r="C822" s="18" t="s">
        <v>4</v>
      </c>
      <c r="D822" s="11">
        <v>65</v>
      </c>
      <c r="E822" s="12" t="s">
        <v>758</v>
      </c>
      <c r="F822" s="12" t="s">
        <v>2</v>
      </c>
      <c r="G822" s="12" t="s">
        <v>461</v>
      </c>
      <c r="H822" s="12" t="s">
        <v>461</v>
      </c>
      <c r="I822" s="160">
        <v>0</v>
      </c>
      <c r="J822" s="15">
        <v>19950000</v>
      </c>
      <c r="K822" s="25" t="s">
        <v>461</v>
      </c>
      <c r="L822" s="285"/>
    </row>
    <row r="823" spans="1:12" x14ac:dyDescent="0.25">
      <c r="A823" s="8" t="s">
        <v>0</v>
      </c>
      <c r="B823" s="39" t="s">
        <v>524</v>
      </c>
      <c r="C823" s="18" t="s">
        <v>5</v>
      </c>
      <c r="D823" s="11"/>
      <c r="E823" s="12" t="s">
        <v>758</v>
      </c>
      <c r="F823" s="8" t="s">
        <v>2</v>
      </c>
      <c r="G823" s="12" t="s">
        <v>461</v>
      </c>
      <c r="H823" s="12" t="s">
        <v>461</v>
      </c>
      <c r="I823" s="160">
        <v>0</v>
      </c>
      <c r="J823" s="15">
        <v>554083</v>
      </c>
      <c r="K823" s="25">
        <v>41320</v>
      </c>
      <c r="L823" s="285"/>
    </row>
    <row r="824" spans="1:12" x14ac:dyDescent="0.25">
      <c r="A824" s="8" t="s">
        <v>0</v>
      </c>
      <c r="B824" s="39" t="s">
        <v>525</v>
      </c>
      <c r="C824" s="18" t="s">
        <v>5</v>
      </c>
      <c r="D824" s="11">
        <v>92</v>
      </c>
      <c r="E824" s="12" t="s">
        <v>758</v>
      </c>
      <c r="F824" s="8" t="s">
        <v>2</v>
      </c>
      <c r="G824" s="12" t="s">
        <v>461</v>
      </c>
      <c r="H824" s="12" t="s">
        <v>461</v>
      </c>
      <c r="I824" s="160">
        <v>0</v>
      </c>
      <c r="J824" s="15">
        <v>2102189.13</v>
      </c>
      <c r="K824" s="25" t="s">
        <v>461</v>
      </c>
      <c r="L824" s="285"/>
    </row>
    <row r="825" spans="1:12" x14ac:dyDescent="0.25">
      <c r="A825" s="281" t="s">
        <v>0</v>
      </c>
      <c r="B825" s="255" t="s">
        <v>582</v>
      </c>
      <c r="C825" s="254" t="s">
        <v>5</v>
      </c>
      <c r="D825" s="280">
        <v>96</v>
      </c>
      <c r="E825" s="278" t="s">
        <v>758</v>
      </c>
      <c r="F825" s="281" t="s">
        <v>2</v>
      </c>
      <c r="G825" s="12" t="s">
        <v>461</v>
      </c>
      <c r="H825" s="12" t="s">
        <v>461</v>
      </c>
      <c r="I825" s="160">
        <v>0</v>
      </c>
      <c r="J825" s="15">
        <v>907197.92</v>
      </c>
      <c r="K825" s="258" t="s">
        <v>461</v>
      </c>
      <c r="L825" s="285"/>
    </row>
    <row r="826" spans="1:12" x14ac:dyDescent="0.25">
      <c r="A826" s="8" t="s">
        <v>0</v>
      </c>
      <c r="B826" s="39" t="s">
        <v>526</v>
      </c>
      <c r="C826" s="18" t="s">
        <v>5</v>
      </c>
      <c r="D826" s="11"/>
      <c r="E826" s="12" t="s">
        <v>758</v>
      </c>
      <c r="F826" s="8" t="s">
        <v>2</v>
      </c>
      <c r="G826" s="12" t="s">
        <v>461</v>
      </c>
      <c r="H826" s="12" t="s">
        <v>461</v>
      </c>
      <c r="I826" s="160">
        <v>0</v>
      </c>
      <c r="J826" s="15">
        <v>1589583</v>
      </c>
      <c r="K826" s="25">
        <v>41320</v>
      </c>
      <c r="L826" s="285"/>
    </row>
    <row r="827" spans="1:12" x14ac:dyDescent="0.25">
      <c r="A827" s="8" t="s">
        <v>0</v>
      </c>
      <c r="B827" s="39" t="s">
        <v>527</v>
      </c>
      <c r="C827" s="18" t="s">
        <v>4</v>
      </c>
      <c r="D827" s="11">
        <v>61</v>
      </c>
      <c r="E827" s="12" t="s">
        <v>758</v>
      </c>
      <c r="F827" s="12" t="s">
        <v>2</v>
      </c>
      <c r="G827" s="12" t="s">
        <v>461</v>
      </c>
      <c r="H827" s="12" t="s">
        <v>461</v>
      </c>
      <c r="I827" s="160">
        <v>0</v>
      </c>
      <c r="J827" s="15">
        <v>36833333.329999998</v>
      </c>
      <c r="K827" s="25" t="s">
        <v>461</v>
      </c>
      <c r="L827" s="285"/>
    </row>
    <row r="828" spans="1:12" x14ac:dyDescent="0.25">
      <c r="A828" s="8" t="s">
        <v>0</v>
      </c>
      <c r="B828" s="39" t="s">
        <v>528</v>
      </c>
      <c r="C828" s="18" t="s">
        <v>4</v>
      </c>
      <c r="D828" s="11">
        <v>57</v>
      </c>
      <c r="E828" s="12" t="s">
        <v>758</v>
      </c>
      <c r="F828" s="12" t="s">
        <v>2</v>
      </c>
      <c r="G828" s="12" t="s">
        <v>461</v>
      </c>
      <c r="H828" s="12" t="s">
        <v>461</v>
      </c>
      <c r="I828" s="160">
        <v>0</v>
      </c>
      <c r="J828" s="15">
        <v>39920833.329999998</v>
      </c>
      <c r="K828" s="25" t="s">
        <v>461</v>
      </c>
      <c r="L828" s="285"/>
    </row>
    <row r="829" spans="1:12" x14ac:dyDescent="0.25">
      <c r="A829" s="8" t="s">
        <v>0</v>
      </c>
      <c r="B829" s="39" t="s">
        <v>529</v>
      </c>
      <c r="C829" s="18" t="s">
        <v>4</v>
      </c>
      <c r="D829" s="11">
        <v>80</v>
      </c>
      <c r="E829" s="12" t="s">
        <v>758</v>
      </c>
      <c r="F829" s="12" t="s">
        <v>2</v>
      </c>
      <c r="G829" s="12" t="s">
        <v>461</v>
      </c>
      <c r="H829" s="12" t="s">
        <v>461</v>
      </c>
      <c r="I829" s="160">
        <v>0</v>
      </c>
      <c r="J829" s="15">
        <v>10282176.359999999</v>
      </c>
      <c r="K829" s="25" t="s">
        <v>461</v>
      </c>
      <c r="L829" s="285"/>
    </row>
    <row r="830" spans="1:12" x14ac:dyDescent="0.25">
      <c r="A830" s="8" t="s">
        <v>0</v>
      </c>
      <c r="B830" s="39" t="s">
        <v>530</v>
      </c>
      <c r="C830" s="18" t="s">
        <v>4</v>
      </c>
      <c r="D830" s="11" t="s">
        <v>1260</v>
      </c>
      <c r="E830" s="12" t="s">
        <v>758</v>
      </c>
      <c r="F830" s="12" t="s">
        <v>2</v>
      </c>
      <c r="G830" s="12" t="s">
        <v>461</v>
      </c>
      <c r="H830" s="12" t="s">
        <v>461</v>
      </c>
      <c r="I830" s="160">
        <v>0</v>
      </c>
      <c r="J830" s="15">
        <v>25104166.662222225</v>
      </c>
      <c r="K830" s="25" t="s">
        <v>461</v>
      </c>
      <c r="L830" s="285"/>
    </row>
    <row r="831" spans="1:12" x14ac:dyDescent="0.25">
      <c r="A831" s="8" t="s">
        <v>0</v>
      </c>
      <c r="B831" s="32" t="s">
        <v>583</v>
      </c>
      <c r="C831" s="18" t="s">
        <v>561</v>
      </c>
      <c r="D831" s="17"/>
      <c r="E831" s="12" t="s">
        <v>758</v>
      </c>
      <c r="F831" s="8" t="s">
        <v>2</v>
      </c>
      <c r="G831" s="12" t="s">
        <v>461</v>
      </c>
      <c r="H831" s="12" t="s">
        <v>461</v>
      </c>
      <c r="I831" s="160">
        <v>0</v>
      </c>
      <c r="J831" s="15">
        <v>370600</v>
      </c>
      <c r="K831" s="25">
        <v>41320</v>
      </c>
      <c r="L831" s="285"/>
    </row>
    <row r="832" spans="1:12" x14ac:dyDescent="0.25">
      <c r="A832" s="8" t="s">
        <v>0</v>
      </c>
      <c r="B832" s="39" t="s">
        <v>531</v>
      </c>
      <c r="C832" s="19" t="s">
        <v>4</v>
      </c>
      <c r="D832" s="11">
        <v>80</v>
      </c>
      <c r="E832" s="12" t="s">
        <v>758</v>
      </c>
      <c r="F832" s="12" t="s">
        <v>2</v>
      </c>
      <c r="G832" s="12" t="s">
        <v>461</v>
      </c>
      <c r="H832" s="12" t="s">
        <v>461</v>
      </c>
      <c r="I832" s="160">
        <v>0</v>
      </c>
      <c r="J832" s="15">
        <v>8405557.8499999996</v>
      </c>
      <c r="K832" s="25" t="s">
        <v>461</v>
      </c>
      <c r="L832" s="285"/>
    </row>
    <row r="833" spans="1:12" x14ac:dyDescent="0.25">
      <c r="A833" s="8" t="s">
        <v>0</v>
      </c>
      <c r="B833" s="39" t="s">
        <v>532</v>
      </c>
      <c r="C833" s="18" t="s">
        <v>4</v>
      </c>
      <c r="D833" s="11">
        <v>80</v>
      </c>
      <c r="E833" s="12" t="s">
        <v>758</v>
      </c>
      <c r="F833" s="8" t="s">
        <v>2</v>
      </c>
      <c r="G833" s="12" t="s">
        <v>461</v>
      </c>
      <c r="H833" s="12" t="s">
        <v>461</v>
      </c>
      <c r="I833" s="160">
        <v>0</v>
      </c>
      <c r="J833" s="15">
        <v>8820922.6900000013</v>
      </c>
      <c r="K833" s="258" t="s">
        <v>461</v>
      </c>
      <c r="L833" s="285"/>
    </row>
    <row r="834" spans="1:12" x14ac:dyDescent="0.25">
      <c r="A834" s="8" t="s">
        <v>0</v>
      </c>
      <c r="B834" s="39" t="s">
        <v>533</v>
      </c>
      <c r="C834" s="18" t="s">
        <v>5</v>
      </c>
      <c r="D834" s="11">
        <v>66</v>
      </c>
      <c r="E834" s="12" t="s">
        <v>759</v>
      </c>
      <c r="F834" s="12" t="s">
        <v>2</v>
      </c>
      <c r="G834" s="12" t="s">
        <v>461</v>
      </c>
      <c r="H834" s="12" t="s">
        <v>461</v>
      </c>
      <c r="I834" s="160">
        <v>0</v>
      </c>
      <c r="J834" s="15">
        <v>590022.14</v>
      </c>
      <c r="K834" s="25" t="s">
        <v>461</v>
      </c>
      <c r="L834" s="285"/>
    </row>
    <row r="835" spans="1:12" x14ac:dyDescent="0.25">
      <c r="A835" s="8" t="s">
        <v>0</v>
      </c>
      <c r="B835" s="39" t="s">
        <v>534</v>
      </c>
      <c r="C835" s="18" t="s">
        <v>4</v>
      </c>
      <c r="D835" s="17" t="s">
        <v>1260</v>
      </c>
      <c r="E835" s="12" t="s">
        <v>758</v>
      </c>
      <c r="F835" s="8" t="s">
        <v>2</v>
      </c>
      <c r="G835" s="12" t="s">
        <v>461</v>
      </c>
      <c r="H835" s="12" t="s">
        <v>461</v>
      </c>
      <c r="I835" s="160">
        <v>0</v>
      </c>
      <c r="J835" s="15">
        <v>253361111.11000001</v>
      </c>
      <c r="K835" s="25" t="s">
        <v>461</v>
      </c>
      <c r="L835" s="285"/>
    </row>
    <row r="836" spans="1:12" x14ac:dyDescent="0.25">
      <c r="A836" s="12" t="s">
        <v>692</v>
      </c>
      <c r="B836" s="204" t="s">
        <v>702</v>
      </c>
      <c r="C836" s="10" t="s">
        <v>695</v>
      </c>
      <c r="D836" s="17" t="s">
        <v>1255</v>
      </c>
      <c r="E836" s="12" t="s">
        <v>766</v>
      </c>
      <c r="F836" s="12" t="s">
        <v>461</v>
      </c>
      <c r="G836" s="12" t="s">
        <v>461</v>
      </c>
      <c r="H836" s="13">
        <v>41289</v>
      </c>
      <c r="I836" s="160">
        <v>19999900</v>
      </c>
      <c r="J836" s="15">
        <v>217398913</v>
      </c>
      <c r="K836" s="13" t="s">
        <v>461</v>
      </c>
    </row>
    <row r="837" spans="1:12" s="285" customFormat="1" ht="15" customHeight="1" x14ac:dyDescent="0.25">
      <c r="A837" s="12" t="s">
        <v>692</v>
      </c>
      <c r="B837" s="204" t="s">
        <v>702</v>
      </c>
      <c r="C837" s="45" t="s">
        <v>696</v>
      </c>
      <c r="D837" s="18"/>
      <c r="E837" s="8" t="s">
        <v>661</v>
      </c>
      <c r="F837" s="8" t="s">
        <v>536</v>
      </c>
      <c r="G837" s="25">
        <v>41289</v>
      </c>
      <c r="H837" s="13">
        <v>41289</v>
      </c>
      <c r="I837" s="160">
        <v>412563.16</v>
      </c>
      <c r="J837" s="15">
        <v>65407156.149999999</v>
      </c>
      <c r="K837" s="25">
        <v>41319</v>
      </c>
    </row>
    <row r="838" spans="1:12" x14ac:dyDescent="0.25">
      <c r="A838" s="12" t="s">
        <v>692</v>
      </c>
      <c r="B838" s="205" t="s">
        <v>705</v>
      </c>
      <c r="C838" s="10" t="s">
        <v>695</v>
      </c>
      <c r="D838" s="17" t="s">
        <v>1255</v>
      </c>
      <c r="E838" s="12" t="s">
        <v>766</v>
      </c>
      <c r="F838" s="12" t="s">
        <v>461</v>
      </c>
      <c r="G838" s="12" t="s">
        <v>461</v>
      </c>
      <c r="H838" s="12" t="s">
        <v>461</v>
      </c>
      <c r="I838" s="160">
        <v>0</v>
      </c>
      <c r="J838" s="15">
        <v>193952870.31999999</v>
      </c>
      <c r="K838" s="13" t="s">
        <v>461</v>
      </c>
    </row>
    <row r="839" spans="1:12" s="285" customFormat="1" ht="15" customHeight="1" x14ac:dyDescent="0.25">
      <c r="A839" s="12" t="s">
        <v>692</v>
      </c>
      <c r="B839" s="205" t="s">
        <v>705</v>
      </c>
      <c r="C839" s="45" t="s">
        <v>696</v>
      </c>
      <c r="D839" s="18"/>
      <c r="E839" s="8" t="s">
        <v>661</v>
      </c>
      <c r="F839" s="8" t="s">
        <v>536</v>
      </c>
      <c r="G839" s="12" t="s">
        <v>461</v>
      </c>
      <c r="H839" s="12" t="s">
        <v>461</v>
      </c>
      <c r="I839" s="160">
        <v>0</v>
      </c>
      <c r="J839" s="15">
        <v>58441690.590000004</v>
      </c>
      <c r="K839" s="298" t="s">
        <v>461</v>
      </c>
    </row>
    <row r="840" spans="1:12" x14ac:dyDescent="0.25">
      <c r="A840" s="301" t="s">
        <v>692</v>
      </c>
      <c r="B840" s="302" t="s">
        <v>706</v>
      </c>
      <c r="C840" s="214" t="s">
        <v>695</v>
      </c>
      <c r="D840" s="242" t="s">
        <v>903</v>
      </c>
      <c r="E840" s="301" t="s">
        <v>766</v>
      </c>
      <c r="F840" s="12" t="s">
        <v>461</v>
      </c>
      <c r="G840" s="12" t="s">
        <v>461</v>
      </c>
      <c r="H840" s="13" t="s">
        <v>461</v>
      </c>
      <c r="I840" s="160">
        <v>0</v>
      </c>
      <c r="J840" s="15">
        <v>38120868.829999998</v>
      </c>
      <c r="K840" s="13" t="s">
        <v>461</v>
      </c>
    </row>
    <row r="841" spans="1:12" s="285" customFormat="1" ht="15" customHeight="1" x14ac:dyDescent="0.25">
      <c r="A841" s="12" t="s">
        <v>692</v>
      </c>
      <c r="B841" s="205" t="s">
        <v>706</v>
      </c>
      <c r="C841" s="45" t="s">
        <v>696</v>
      </c>
      <c r="D841" s="18"/>
      <c r="E841" s="8" t="s">
        <v>661</v>
      </c>
      <c r="F841" s="8" t="s">
        <v>536</v>
      </c>
      <c r="G841" s="25" t="s">
        <v>461</v>
      </c>
      <c r="H841" s="12" t="s">
        <v>461</v>
      </c>
      <c r="I841" s="160">
        <v>0</v>
      </c>
      <c r="J841" s="15">
        <v>34314855.390000001</v>
      </c>
      <c r="K841" s="298" t="s">
        <v>461</v>
      </c>
    </row>
    <row r="842" spans="1:12" x14ac:dyDescent="0.25">
      <c r="A842" s="300" t="s">
        <v>692</v>
      </c>
      <c r="B842" s="253" t="s">
        <v>693</v>
      </c>
      <c r="C842" s="157" t="s">
        <v>695</v>
      </c>
      <c r="D842" s="17" t="s">
        <v>1255</v>
      </c>
      <c r="E842" s="300" t="s">
        <v>766</v>
      </c>
      <c r="F842" s="12" t="s">
        <v>461</v>
      </c>
      <c r="G842" s="12" t="s">
        <v>461</v>
      </c>
      <c r="H842" s="12" t="s">
        <v>461</v>
      </c>
      <c r="I842" s="160">
        <v>0</v>
      </c>
      <c r="J842" s="15">
        <v>81552317.439999998</v>
      </c>
      <c r="K842" s="248" t="s">
        <v>461</v>
      </c>
    </row>
    <row r="843" spans="1:12" s="285" customFormat="1" ht="15" customHeight="1" x14ac:dyDescent="0.25">
      <c r="A843" s="12" t="s">
        <v>692</v>
      </c>
      <c r="B843" s="39" t="s">
        <v>693</v>
      </c>
      <c r="C843" s="45" t="s">
        <v>696</v>
      </c>
      <c r="D843" s="18"/>
      <c r="E843" s="8" t="s">
        <v>661</v>
      </c>
      <c r="F843" s="8" t="s">
        <v>536</v>
      </c>
      <c r="G843" s="12" t="s">
        <v>461</v>
      </c>
      <c r="H843" s="12" t="s">
        <v>461</v>
      </c>
      <c r="I843" s="160">
        <v>0</v>
      </c>
      <c r="J843" s="15">
        <v>18212424.41</v>
      </c>
      <c r="K843" s="25" t="s">
        <v>461</v>
      </c>
    </row>
    <row r="844" spans="1:12" x14ac:dyDescent="0.25">
      <c r="A844" s="12" t="s">
        <v>692</v>
      </c>
      <c r="B844" s="206" t="s">
        <v>709</v>
      </c>
      <c r="C844" s="10" t="s">
        <v>695</v>
      </c>
      <c r="D844" s="11">
        <v>20</v>
      </c>
      <c r="E844" s="12" t="s">
        <v>766</v>
      </c>
      <c r="F844" s="12" t="s">
        <v>461</v>
      </c>
      <c r="G844" s="12" t="s">
        <v>461</v>
      </c>
      <c r="H844" s="13">
        <v>41289</v>
      </c>
      <c r="I844" s="160">
        <v>1072031.78</v>
      </c>
      <c r="J844" s="15">
        <v>49601262.340000004</v>
      </c>
      <c r="K844" s="13" t="s">
        <v>461</v>
      </c>
    </row>
    <row r="845" spans="1:12" s="285" customFormat="1" ht="15" customHeight="1" x14ac:dyDescent="0.25">
      <c r="A845" s="323" t="s">
        <v>692</v>
      </c>
      <c r="B845" s="325" t="s">
        <v>709</v>
      </c>
      <c r="C845" s="309" t="s">
        <v>696</v>
      </c>
      <c r="D845" s="311"/>
      <c r="E845" s="319" t="s">
        <v>661</v>
      </c>
      <c r="F845" s="8" t="s">
        <v>536</v>
      </c>
      <c r="G845" s="25">
        <v>41289</v>
      </c>
      <c r="H845" s="13">
        <v>41289</v>
      </c>
      <c r="I845" s="160">
        <v>470347.98</v>
      </c>
      <c r="J845" s="313">
        <v>27857368.490000006</v>
      </c>
      <c r="K845" s="315" t="s">
        <v>461</v>
      </c>
      <c r="L845" s="51"/>
    </row>
    <row r="846" spans="1:12" s="285" customFormat="1" ht="15" customHeight="1" x14ac:dyDescent="0.25">
      <c r="A846" s="324"/>
      <c r="B846" s="326"/>
      <c r="C846" s="310"/>
      <c r="D846" s="312"/>
      <c r="E846" s="320"/>
      <c r="F846" s="8" t="s">
        <v>461</v>
      </c>
      <c r="G846" s="25" t="s">
        <v>461</v>
      </c>
      <c r="H846" s="13">
        <v>41298</v>
      </c>
      <c r="I846" s="160">
        <v>113098.43</v>
      </c>
      <c r="J846" s="314"/>
      <c r="K846" s="316"/>
      <c r="L846" s="51"/>
    </row>
    <row r="847" spans="1:12" x14ac:dyDescent="0.25">
      <c r="A847" s="12" t="s">
        <v>692</v>
      </c>
      <c r="B847" s="206" t="s">
        <v>728</v>
      </c>
      <c r="C847" s="10" t="s">
        <v>695</v>
      </c>
      <c r="D847" s="17" t="s">
        <v>1255</v>
      </c>
      <c r="E847" s="12" t="s">
        <v>766</v>
      </c>
      <c r="F847" s="12" t="s">
        <v>461</v>
      </c>
      <c r="G847" s="12" t="s">
        <v>461</v>
      </c>
      <c r="H847" s="13">
        <v>41289</v>
      </c>
      <c r="I847" s="160">
        <v>637495.47</v>
      </c>
      <c r="J847" s="15">
        <v>36777893.560000002</v>
      </c>
      <c r="K847" s="13" t="s">
        <v>461</v>
      </c>
    </row>
    <row r="848" spans="1:12" s="285" customFormat="1" ht="15" customHeight="1" x14ac:dyDescent="0.25">
      <c r="A848" s="12" t="s">
        <v>692</v>
      </c>
      <c r="B848" s="216" t="s">
        <v>728</v>
      </c>
      <c r="C848" s="297" t="s">
        <v>696</v>
      </c>
      <c r="D848" s="217"/>
      <c r="E848" s="8" t="s">
        <v>661</v>
      </c>
      <c r="F848" s="300" t="s">
        <v>536</v>
      </c>
      <c r="G848" s="25">
        <v>41289</v>
      </c>
      <c r="H848" s="13">
        <v>41289</v>
      </c>
      <c r="I848" s="160">
        <v>547913.31000000006</v>
      </c>
      <c r="J848" s="15">
        <v>15482544.329999998</v>
      </c>
      <c r="K848" s="25">
        <v>41319</v>
      </c>
      <c r="L848" s="51"/>
    </row>
    <row r="849" spans="1:12" x14ac:dyDescent="0.25">
      <c r="A849" s="12" t="s">
        <v>692</v>
      </c>
      <c r="B849" s="206" t="s">
        <v>708</v>
      </c>
      <c r="C849" s="10" t="s">
        <v>695</v>
      </c>
      <c r="D849" s="17" t="s">
        <v>1255</v>
      </c>
      <c r="E849" s="12" t="s">
        <v>766</v>
      </c>
      <c r="F849" s="12" t="s">
        <v>461</v>
      </c>
      <c r="G849" s="12" t="s">
        <v>461</v>
      </c>
      <c r="H849" s="12" t="s">
        <v>461</v>
      </c>
      <c r="I849" s="160">
        <v>0</v>
      </c>
      <c r="J849" s="15">
        <v>124103878.70999999</v>
      </c>
      <c r="K849" s="13" t="s">
        <v>461</v>
      </c>
    </row>
    <row r="850" spans="1:12" s="277" customFormat="1" ht="15" customHeight="1" x14ac:dyDescent="0.25">
      <c r="A850" s="12" t="s">
        <v>692</v>
      </c>
      <c r="B850" s="206" t="s">
        <v>708</v>
      </c>
      <c r="C850" s="45" t="s">
        <v>696</v>
      </c>
      <c r="D850" s="215"/>
      <c r="E850" s="8" t="s">
        <v>661</v>
      </c>
      <c r="F850" s="8" t="s">
        <v>536</v>
      </c>
      <c r="G850" s="25" t="s">
        <v>461</v>
      </c>
      <c r="H850" s="12" t="s">
        <v>461</v>
      </c>
      <c r="I850" s="160">
        <v>0</v>
      </c>
      <c r="J850" s="15">
        <v>37401896.440000013</v>
      </c>
      <c r="K850" s="298" t="s">
        <v>461</v>
      </c>
      <c r="L850" s="51"/>
    </row>
    <row r="851" spans="1:12" s="50" customFormat="1" x14ac:dyDescent="0.25">
      <c r="A851" s="12" t="s">
        <v>692</v>
      </c>
      <c r="B851" s="39" t="s">
        <v>694</v>
      </c>
      <c r="C851" s="10" t="s">
        <v>695</v>
      </c>
      <c r="D851" s="11">
        <v>16</v>
      </c>
      <c r="E851" s="12" t="s">
        <v>766</v>
      </c>
      <c r="F851" s="12" t="s">
        <v>461</v>
      </c>
      <c r="G851" s="12" t="s">
        <v>461</v>
      </c>
      <c r="H851" s="12" t="s">
        <v>461</v>
      </c>
      <c r="I851" s="160">
        <v>0</v>
      </c>
      <c r="J851" s="15">
        <v>0</v>
      </c>
      <c r="K851" s="13" t="s">
        <v>461</v>
      </c>
    </row>
    <row r="852" spans="1:12" s="286" customFormat="1" ht="15" customHeight="1" x14ac:dyDescent="0.25">
      <c r="A852" s="12" t="s">
        <v>692</v>
      </c>
      <c r="B852" s="245" t="s">
        <v>694</v>
      </c>
      <c r="C852" s="297" t="s">
        <v>696</v>
      </c>
      <c r="D852" s="11">
        <v>16</v>
      </c>
      <c r="E852" s="8" t="s">
        <v>661</v>
      </c>
      <c r="F852" s="8" t="s">
        <v>536</v>
      </c>
      <c r="G852" s="12" t="s">
        <v>461</v>
      </c>
      <c r="H852" s="12" t="s">
        <v>461</v>
      </c>
      <c r="I852" s="160">
        <v>0</v>
      </c>
      <c r="J852" s="15">
        <v>342176.11</v>
      </c>
      <c r="K852" s="25" t="s">
        <v>461</v>
      </c>
    </row>
    <row r="853" spans="1:12" x14ac:dyDescent="0.25">
      <c r="A853" s="12" t="s">
        <v>692</v>
      </c>
      <c r="B853" s="205" t="s">
        <v>704</v>
      </c>
      <c r="C853" s="10" t="s">
        <v>695</v>
      </c>
      <c r="D853" s="11">
        <v>20</v>
      </c>
      <c r="E853" s="12" t="s">
        <v>766</v>
      </c>
      <c r="F853" s="12" t="s">
        <v>461</v>
      </c>
      <c r="G853" s="12" t="s">
        <v>461</v>
      </c>
      <c r="H853" s="13">
        <v>41289</v>
      </c>
      <c r="I853" s="160">
        <v>11509155.27</v>
      </c>
      <c r="J853" s="15">
        <v>168418795.02000001</v>
      </c>
      <c r="K853" s="13" t="s">
        <v>461</v>
      </c>
    </row>
    <row r="854" spans="1:12" s="285" customFormat="1" ht="15" customHeight="1" x14ac:dyDescent="0.25">
      <c r="A854" s="323" t="s">
        <v>692</v>
      </c>
      <c r="B854" s="325" t="s">
        <v>704</v>
      </c>
      <c r="C854" s="307" t="s">
        <v>696</v>
      </c>
      <c r="D854" s="317"/>
      <c r="E854" s="319" t="s">
        <v>661</v>
      </c>
      <c r="F854" s="299" t="s">
        <v>536</v>
      </c>
      <c r="G854" s="25">
        <v>41289</v>
      </c>
      <c r="H854" s="13">
        <v>41289</v>
      </c>
      <c r="I854" s="160">
        <v>471750.72</v>
      </c>
      <c r="J854" s="313">
        <v>60686989.179999985</v>
      </c>
      <c r="K854" s="315" t="s">
        <v>461</v>
      </c>
    </row>
    <row r="855" spans="1:12" s="285" customFormat="1" ht="15" customHeight="1" x14ac:dyDescent="0.25">
      <c r="A855" s="324"/>
      <c r="B855" s="326"/>
      <c r="C855" s="308"/>
      <c r="D855" s="318"/>
      <c r="E855" s="320"/>
      <c r="F855" s="281" t="s">
        <v>461</v>
      </c>
      <c r="G855" s="25" t="s">
        <v>461</v>
      </c>
      <c r="H855" s="13">
        <v>41298</v>
      </c>
      <c r="I855" s="160">
        <v>102930.52</v>
      </c>
      <c r="J855" s="314"/>
      <c r="K855" s="316"/>
    </row>
    <row r="856" spans="1:12" x14ac:dyDescent="0.25">
      <c r="A856" s="12" t="s">
        <v>33</v>
      </c>
      <c r="B856" s="9" t="s">
        <v>32</v>
      </c>
      <c r="C856" s="18" t="s">
        <v>4</v>
      </c>
      <c r="D856" s="11" t="s">
        <v>1260</v>
      </c>
      <c r="E856" s="12" t="s">
        <v>758</v>
      </c>
      <c r="F856" s="12" t="s">
        <v>2</v>
      </c>
      <c r="G856" s="12" t="s">
        <v>461</v>
      </c>
      <c r="H856" s="12" t="s">
        <v>461</v>
      </c>
      <c r="I856" s="160">
        <v>0</v>
      </c>
      <c r="J856" s="15">
        <v>1435555555.5599999</v>
      </c>
      <c r="K856" s="13" t="s">
        <v>461</v>
      </c>
    </row>
    <row r="857" spans="1:12" x14ac:dyDescent="0.25">
      <c r="A857" s="12" t="s">
        <v>33</v>
      </c>
      <c r="B857" s="39" t="s">
        <v>103</v>
      </c>
      <c r="C857" s="19" t="s">
        <v>4</v>
      </c>
      <c r="D857" s="11">
        <v>6</v>
      </c>
      <c r="E857" s="12" t="s">
        <v>758</v>
      </c>
      <c r="F857" s="12" t="s">
        <v>2</v>
      </c>
      <c r="G857" s="12" t="s">
        <v>461</v>
      </c>
      <c r="H857" s="12" t="s">
        <v>461</v>
      </c>
      <c r="I857" s="160">
        <v>0</v>
      </c>
      <c r="J857" s="15">
        <v>933333333.32999992</v>
      </c>
      <c r="K857" s="13" t="s">
        <v>461</v>
      </c>
    </row>
    <row r="858" spans="1:12" x14ac:dyDescent="0.25">
      <c r="A858" s="12" t="s">
        <v>33</v>
      </c>
      <c r="B858" s="9" t="s">
        <v>103</v>
      </c>
      <c r="C858" s="19" t="s">
        <v>662</v>
      </c>
      <c r="D858" s="11" t="s">
        <v>1260</v>
      </c>
      <c r="E858" s="12" t="s">
        <v>758</v>
      </c>
      <c r="F858" s="12" t="s">
        <v>2</v>
      </c>
      <c r="G858" s="12" t="s">
        <v>461</v>
      </c>
      <c r="H858" s="12" t="s">
        <v>461</v>
      </c>
      <c r="I858" s="160">
        <v>0</v>
      </c>
      <c r="J858" s="15">
        <v>635555555.55999994</v>
      </c>
      <c r="K858" s="13" t="s">
        <v>461</v>
      </c>
    </row>
    <row r="859" spans="1:12" x14ac:dyDescent="0.25">
      <c r="A859" s="278" t="s">
        <v>773</v>
      </c>
      <c r="B859" s="249" t="s">
        <v>461</v>
      </c>
      <c r="C859" s="249" t="s">
        <v>774</v>
      </c>
      <c r="D859" s="11">
        <v>75</v>
      </c>
      <c r="E859" s="30" t="s">
        <v>775</v>
      </c>
      <c r="F859" s="12" t="s">
        <v>536</v>
      </c>
      <c r="G859" s="12" t="s">
        <v>461</v>
      </c>
      <c r="H859" s="12" t="s">
        <v>461</v>
      </c>
      <c r="I859" s="160">
        <v>0</v>
      </c>
      <c r="J859" s="15">
        <v>902632.95</v>
      </c>
      <c r="K859" s="25" t="s">
        <v>461</v>
      </c>
    </row>
    <row r="860" spans="1:12" x14ac:dyDescent="0.25">
      <c r="A860" s="267"/>
      <c r="B860" s="154"/>
      <c r="C860" s="154" t="s">
        <v>779</v>
      </c>
      <c r="D860" s="11">
        <v>75</v>
      </c>
      <c r="E860" s="8" t="s">
        <v>661</v>
      </c>
      <c r="F860" s="12" t="s">
        <v>536</v>
      </c>
      <c r="G860" s="12" t="s">
        <v>461</v>
      </c>
      <c r="H860" s="12" t="s">
        <v>461</v>
      </c>
      <c r="I860" s="160">
        <v>0</v>
      </c>
      <c r="J860" s="15">
        <v>169441.24</v>
      </c>
      <c r="K860" s="25" t="s">
        <v>461</v>
      </c>
    </row>
    <row r="861" spans="1:12" x14ac:dyDescent="0.25">
      <c r="A861" s="278" t="s">
        <v>773</v>
      </c>
      <c r="B861" s="249" t="s">
        <v>461</v>
      </c>
      <c r="C861" s="249" t="s">
        <v>776</v>
      </c>
      <c r="D861" s="11">
        <v>75</v>
      </c>
      <c r="E861" s="30" t="s">
        <v>775</v>
      </c>
      <c r="F861" s="12" t="s">
        <v>536</v>
      </c>
      <c r="G861" s="12" t="s">
        <v>461</v>
      </c>
      <c r="H861" s="12" t="s">
        <v>461</v>
      </c>
      <c r="I861" s="160">
        <v>0</v>
      </c>
      <c r="J861" s="15">
        <v>1685709.52</v>
      </c>
      <c r="K861" s="13" t="s">
        <v>461</v>
      </c>
    </row>
    <row r="862" spans="1:12" x14ac:dyDescent="0.25">
      <c r="A862" s="267"/>
      <c r="B862" s="154"/>
      <c r="C862" s="154" t="s">
        <v>780</v>
      </c>
      <c r="D862" s="11">
        <v>75</v>
      </c>
      <c r="E862" s="8" t="s">
        <v>661</v>
      </c>
      <c r="F862" s="12" t="s">
        <v>536</v>
      </c>
      <c r="G862" s="12" t="s">
        <v>461</v>
      </c>
      <c r="H862" s="12" t="s">
        <v>461</v>
      </c>
      <c r="I862" s="160">
        <v>0</v>
      </c>
      <c r="J862" s="15">
        <v>449518.04999999987</v>
      </c>
      <c r="K862" s="13" t="s">
        <v>461</v>
      </c>
    </row>
    <row r="863" spans="1:12" x14ac:dyDescent="0.25">
      <c r="A863" s="278" t="s">
        <v>773</v>
      </c>
      <c r="B863" s="249" t="s">
        <v>461</v>
      </c>
      <c r="C863" s="249" t="s">
        <v>776</v>
      </c>
      <c r="D863" s="11">
        <v>75</v>
      </c>
      <c r="E863" s="30" t="s">
        <v>775</v>
      </c>
      <c r="F863" s="12" t="s">
        <v>536</v>
      </c>
      <c r="G863" s="12" t="s">
        <v>461</v>
      </c>
      <c r="H863" s="12" t="s">
        <v>461</v>
      </c>
      <c r="I863" s="160">
        <v>0</v>
      </c>
      <c r="J863" s="15">
        <v>2022652.0399999998</v>
      </c>
      <c r="K863" s="248" t="s">
        <v>461</v>
      </c>
    </row>
    <row r="864" spans="1:12" x14ac:dyDescent="0.25">
      <c r="A864" s="267"/>
      <c r="B864" s="154"/>
      <c r="C864" s="154" t="s">
        <v>781</v>
      </c>
      <c r="D864" s="11">
        <v>75</v>
      </c>
      <c r="E864" s="8" t="s">
        <v>661</v>
      </c>
      <c r="F864" s="12" t="s">
        <v>536</v>
      </c>
      <c r="G864" s="12" t="s">
        <v>461</v>
      </c>
      <c r="H864" s="12" t="s">
        <v>461</v>
      </c>
      <c r="I864" s="160">
        <v>0</v>
      </c>
      <c r="J864" s="15">
        <v>371355.09</v>
      </c>
      <c r="K864" s="248" t="s">
        <v>461</v>
      </c>
    </row>
    <row r="865" spans="1:11" x14ac:dyDescent="0.25">
      <c r="A865" s="278" t="s">
        <v>773</v>
      </c>
      <c r="B865" s="249" t="s">
        <v>461</v>
      </c>
      <c r="C865" s="249" t="s">
        <v>808</v>
      </c>
      <c r="D865" s="11">
        <v>75</v>
      </c>
      <c r="E865" s="30" t="s">
        <v>775</v>
      </c>
      <c r="F865" s="12" t="s">
        <v>536</v>
      </c>
      <c r="G865" s="12" t="s">
        <v>461</v>
      </c>
      <c r="H865" s="12" t="s">
        <v>461</v>
      </c>
      <c r="I865" s="160">
        <v>0</v>
      </c>
      <c r="J865" s="15">
        <v>2357795.5399999996</v>
      </c>
      <c r="K865" s="248" t="s">
        <v>461</v>
      </c>
    </row>
    <row r="866" spans="1:11" x14ac:dyDescent="0.25">
      <c r="A866" s="267"/>
      <c r="B866" s="154"/>
      <c r="C866" s="154" t="s">
        <v>807</v>
      </c>
      <c r="D866" s="11">
        <v>75</v>
      </c>
      <c r="E866" s="8" t="s">
        <v>661</v>
      </c>
      <c r="F866" s="12" t="s">
        <v>536</v>
      </c>
      <c r="G866" s="12" t="s">
        <v>461</v>
      </c>
      <c r="H866" s="12" t="s">
        <v>461</v>
      </c>
      <c r="I866" s="160">
        <v>0</v>
      </c>
      <c r="J866" s="15">
        <v>414561.07999999996</v>
      </c>
      <c r="K866" s="248" t="s">
        <v>461</v>
      </c>
    </row>
    <row r="867" spans="1:11" x14ac:dyDescent="0.25">
      <c r="A867" s="278" t="s">
        <v>773</v>
      </c>
      <c r="B867" s="249" t="s">
        <v>461</v>
      </c>
      <c r="C867" s="249" t="s">
        <v>813</v>
      </c>
      <c r="D867" s="11">
        <v>75</v>
      </c>
      <c r="E867" s="30" t="s">
        <v>775</v>
      </c>
      <c r="F867" s="12" t="s">
        <v>536</v>
      </c>
      <c r="G867" s="12" t="s">
        <v>461</v>
      </c>
      <c r="H867" s="12" t="s">
        <v>461</v>
      </c>
      <c r="I867" s="160">
        <v>0</v>
      </c>
      <c r="J867" s="15">
        <v>1149632.9500000002</v>
      </c>
      <c r="K867" s="248" t="s">
        <v>461</v>
      </c>
    </row>
    <row r="868" spans="1:11" x14ac:dyDescent="0.25">
      <c r="A868" s="267"/>
      <c r="B868" s="154"/>
      <c r="C868" s="154" t="s">
        <v>814</v>
      </c>
      <c r="D868" s="11">
        <v>75</v>
      </c>
      <c r="E868" s="8" t="s">
        <v>661</v>
      </c>
      <c r="F868" s="12" t="s">
        <v>536</v>
      </c>
      <c r="G868" s="12" t="s">
        <v>461</v>
      </c>
      <c r="H868" s="12" t="s">
        <v>461</v>
      </c>
      <c r="I868" s="160">
        <v>0</v>
      </c>
      <c r="J868" s="15">
        <v>1089740.55</v>
      </c>
      <c r="K868" s="248" t="s">
        <v>461</v>
      </c>
    </row>
    <row r="869" spans="1:11" x14ac:dyDescent="0.25">
      <c r="A869" s="278" t="s">
        <v>773</v>
      </c>
      <c r="B869" s="249" t="s">
        <v>461</v>
      </c>
      <c r="C869" s="249" t="s">
        <v>916</v>
      </c>
      <c r="D869" s="11">
        <v>75</v>
      </c>
      <c r="E869" s="30" t="s">
        <v>775</v>
      </c>
      <c r="F869" s="12" t="s">
        <v>536</v>
      </c>
      <c r="G869" s="12" t="s">
        <v>461</v>
      </c>
      <c r="H869" s="12" t="s">
        <v>461</v>
      </c>
      <c r="I869" s="160">
        <v>0</v>
      </c>
      <c r="J869" s="15">
        <v>932112.47000000009</v>
      </c>
      <c r="K869" s="248" t="s">
        <v>461</v>
      </c>
    </row>
    <row r="870" spans="1:11" x14ac:dyDescent="0.25">
      <c r="A870" s="267"/>
      <c r="B870" s="154"/>
      <c r="C870" s="154" t="s">
        <v>919</v>
      </c>
      <c r="D870" s="11">
        <v>75</v>
      </c>
      <c r="E870" s="8" t="s">
        <v>661</v>
      </c>
      <c r="F870" s="12" t="s">
        <v>536</v>
      </c>
      <c r="G870" s="12" t="s">
        <v>461</v>
      </c>
      <c r="H870" s="12" t="s">
        <v>461</v>
      </c>
      <c r="I870" s="160">
        <v>0</v>
      </c>
      <c r="J870" s="15">
        <v>348598.68999999994</v>
      </c>
      <c r="K870" s="248" t="s">
        <v>461</v>
      </c>
    </row>
    <row r="871" spans="1:11" x14ac:dyDescent="0.25">
      <c r="A871" s="278" t="s">
        <v>773</v>
      </c>
      <c r="B871" s="249" t="s">
        <v>461</v>
      </c>
      <c r="C871" s="249" t="s">
        <v>917</v>
      </c>
      <c r="D871" s="11">
        <v>75</v>
      </c>
      <c r="E871" s="30" t="s">
        <v>775</v>
      </c>
      <c r="F871" s="12" t="s">
        <v>536</v>
      </c>
      <c r="G871" s="12" t="s">
        <v>461</v>
      </c>
      <c r="H871" s="12" t="s">
        <v>461</v>
      </c>
      <c r="I871" s="160">
        <v>0</v>
      </c>
      <c r="J871" s="15">
        <v>328603.62</v>
      </c>
      <c r="K871" s="248" t="s">
        <v>461</v>
      </c>
    </row>
    <row r="872" spans="1:11" x14ac:dyDescent="0.25">
      <c r="A872" s="267"/>
      <c r="B872" s="154"/>
      <c r="C872" s="154" t="s">
        <v>920</v>
      </c>
      <c r="D872" s="11">
        <v>75</v>
      </c>
      <c r="E872" s="8" t="s">
        <v>661</v>
      </c>
      <c r="F872" s="12" t="s">
        <v>536</v>
      </c>
      <c r="G872" s="12" t="s">
        <v>461</v>
      </c>
      <c r="H872" s="12" t="s">
        <v>461</v>
      </c>
      <c r="I872" s="160">
        <v>0</v>
      </c>
      <c r="J872" s="15">
        <v>479507.52</v>
      </c>
      <c r="K872" s="248" t="s">
        <v>461</v>
      </c>
    </row>
    <row r="873" spans="1:11" x14ac:dyDescent="0.25">
      <c r="A873" s="278" t="s">
        <v>773</v>
      </c>
      <c r="B873" s="249" t="s">
        <v>461</v>
      </c>
      <c r="C873" s="249" t="s">
        <v>918</v>
      </c>
      <c r="D873" s="11">
        <v>75</v>
      </c>
      <c r="E873" s="30" t="s">
        <v>775</v>
      </c>
      <c r="F873" s="12" t="s">
        <v>536</v>
      </c>
      <c r="G873" s="12" t="s">
        <v>461</v>
      </c>
      <c r="H873" s="12" t="s">
        <v>461</v>
      </c>
      <c r="I873" s="160">
        <v>0</v>
      </c>
      <c r="J873" s="15">
        <v>261145.39</v>
      </c>
      <c r="K873" s="248" t="s">
        <v>461</v>
      </c>
    </row>
    <row r="874" spans="1:11" x14ac:dyDescent="0.25">
      <c r="A874" s="267"/>
      <c r="B874" s="154"/>
      <c r="C874" s="154" t="s">
        <v>921</v>
      </c>
      <c r="D874" s="11">
        <v>75</v>
      </c>
      <c r="E874" s="8" t="s">
        <v>661</v>
      </c>
      <c r="F874" s="12" t="s">
        <v>536</v>
      </c>
      <c r="G874" s="12" t="s">
        <v>461</v>
      </c>
      <c r="H874" s="12" t="s">
        <v>461</v>
      </c>
      <c r="I874" s="160">
        <v>0</v>
      </c>
      <c r="J874" s="15">
        <v>368608.36</v>
      </c>
      <c r="K874" s="248" t="s">
        <v>461</v>
      </c>
    </row>
    <row r="875" spans="1:11" x14ac:dyDescent="0.25">
      <c r="A875" s="278" t="s">
        <v>773</v>
      </c>
      <c r="B875" s="249" t="s">
        <v>461</v>
      </c>
      <c r="C875" s="249" t="s">
        <v>1001</v>
      </c>
      <c r="D875" s="11">
        <v>75</v>
      </c>
      <c r="E875" s="30" t="s">
        <v>775</v>
      </c>
      <c r="F875" s="12" t="s">
        <v>536</v>
      </c>
      <c r="G875" s="12" t="s">
        <v>461</v>
      </c>
      <c r="H875" s="12" t="s">
        <v>461</v>
      </c>
      <c r="I875" s="160">
        <v>0</v>
      </c>
      <c r="J875" s="15">
        <v>246657.92999999996</v>
      </c>
      <c r="K875" s="248" t="s">
        <v>461</v>
      </c>
    </row>
    <row r="876" spans="1:11" x14ac:dyDescent="0.25">
      <c r="A876" s="267"/>
      <c r="B876" s="154"/>
      <c r="C876" s="154" t="s">
        <v>1002</v>
      </c>
      <c r="D876" s="11">
        <v>75</v>
      </c>
      <c r="E876" s="8" t="s">
        <v>661</v>
      </c>
      <c r="F876" s="12" t="s">
        <v>536</v>
      </c>
      <c r="G876" s="12" t="s">
        <v>461</v>
      </c>
      <c r="H876" s="12" t="s">
        <v>461</v>
      </c>
      <c r="I876" s="160">
        <v>0</v>
      </c>
      <c r="J876" s="15">
        <v>287624.09999999998</v>
      </c>
      <c r="K876" s="248" t="s">
        <v>461</v>
      </c>
    </row>
    <row r="877" spans="1:11" x14ac:dyDescent="0.25">
      <c r="A877" s="278" t="s">
        <v>773</v>
      </c>
      <c r="B877" s="249" t="s">
        <v>461</v>
      </c>
      <c r="C877" s="249" t="s">
        <v>918</v>
      </c>
      <c r="D877" s="11">
        <v>75</v>
      </c>
      <c r="E877" s="30" t="s">
        <v>775</v>
      </c>
      <c r="F877" s="12" t="s">
        <v>536</v>
      </c>
      <c r="G877" s="12" t="s">
        <v>461</v>
      </c>
      <c r="H877" s="12" t="s">
        <v>461</v>
      </c>
      <c r="I877" s="160">
        <v>0</v>
      </c>
      <c r="J877" s="15">
        <v>2089260.0899999999</v>
      </c>
      <c r="K877" s="248" t="s">
        <v>461</v>
      </c>
    </row>
    <row r="878" spans="1:11" x14ac:dyDescent="0.25">
      <c r="A878" s="267"/>
      <c r="B878" s="164"/>
      <c r="C878" s="165" t="s">
        <v>1003</v>
      </c>
      <c r="D878" s="11">
        <v>75</v>
      </c>
      <c r="E878" s="8" t="s">
        <v>661</v>
      </c>
      <c r="F878" s="12" t="s">
        <v>536</v>
      </c>
      <c r="G878" s="12" t="s">
        <v>461</v>
      </c>
      <c r="H878" s="12" t="s">
        <v>461</v>
      </c>
      <c r="I878" s="160">
        <v>0</v>
      </c>
      <c r="J878" s="15">
        <v>657862.5199999999</v>
      </c>
      <c r="K878" s="248" t="s">
        <v>461</v>
      </c>
    </row>
    <row r="879" spans="1:11" x14ac:dyDescent="0.25">
      <c r="A879" s="278" t="s">
        <v>773</v>
      </c>
      <c r="B879" s="249" t="s">
        <v>461</v>
      </c>
      <c r="C879" s="249" t="s">
        <v>813</v>
      </c>
      <c r="D879" s="11">
        <v>75</v>
      </c>
      <c r="E879" s="30" t="s">
        <v>775</v>
      </c>
      <c r="F879" s="12" t="s">
        <v>536</v>
      </c>
      <c r="G879" s="12" t="s">
        <v>461</v>
      </c>
      <c r="H879" s="12" t="s">
        <v>461</v>
      </c>
      <c r="I879" s="160">
        <v>0</v>
      </c>
      <c r="J879" s="15">
        <v>2278652.31</v>
      </c>
      <c r="K879" s="248" t="s">
        <v>461</v>
      </c>
    </row>
    <row r="880" spans="1:11" x14ac:dyDescent="0.25">
      <c r="A880" s="267"/>
      <c r="B880" s="154"/>
      <c r="C880" s="154" t="s">
        <v>1014</v>
      </c>
      <c r="D880" s="11">
        <v>75</v>
      </c>
      <c r="E880" s="8" t="s">
        <v>661</v>
      </c>
      <c r="F880" s="12" t="s">
        <v>536</v>
      </c>
      <c r="G880" s="12" t="s">
        <v>461</v>
      </c>
      <c r="H880" s="12" t="s">
        <v>461</v>
      </c>
      <c r="I880" s="160">
        <v>0</v>
      </c>
      <c r="J880" s="15">
        <v>1254222.1500000001</v>
      </c>
      <c r="K880" s="248" t="s">
        <v>461</v>
      </c>
    </row>
    <row r="881" spans="1:11" x14ac:dyDescent="0.25">
      <c r="A881" s="278" t="s">
        <v>773</v>
      </c>
      <c r="B881" s="249" t="s">
        <v>461</v>
      </c>
      <c r="C881" s="249" t="s">
        <v>916</v>
      </c>
      <c r="D881" s="11">
        <v>75</v>
      </c>
      <c r="E881" s="30" t="s">
        <v>775</v>
      </c>
      <c r="F881" s="12" t="s">
        <v>536</v>
      </c>
      <c r="G881" s="12" t="s">
        <v>461</v>
      </c>
      <c r="H881" s="12" t="s">
        <v>461</v>
      </c>
      <c r="I881" s="160">
        <v>0</v>
      </c>
      <c r="J881" s="15">
        <v>1784933.7200000002</v>
      </c>
      <c r="K881" s="25" t="s">
        <v>461</v>
      </c>
    </row>
    <row r="882" spans="1:11" x14ac:dyDescent="0.25">
      <c r="A882" s="279"/>
      <c r="B882" s="241"/>
      <c r="C882" s="241" t="s">
        <v>1015</v>
      </c>
      <c r="D882" s="11">
        <v>75</v>
      </c>
      <c r="E882" s="8" t="s">
        <v>661</v>
      </c>
      <c r="F882" s="12" t="s">
        <v>536</v>
      </c>
      <c r="G882" s="12" t="s">
        <v>461</v>
      </c>
      <c r="H882" s="12" t="s">
        <v>461</v>
      </c>
      <c r="I882" s="160">
        <v>0</v>
      </c>
      <c r="J882" s="15">
        <v>1286449.5100000002</v>
      </c>
      <c r="K882" s="25" t="s">
        <v>461</v>
      </c>
    </row>
    <row r="883" spans="1:11" x14ac:dyDescent="0.25">
      <c r="A883" s="278" t="s">
        <v>773</v>
      </c>
      <c r="B883" s="249" t="s">
        <v>461</v>
      </c>
      <c r="C883" s="249" t="s">
        <v>916</v>
      </c>
      <c r="D883" s="11">
        <v>75</v>
      </c>
      <c r="E883" s="30" t="s">
        <v>775</v>
      </c>
      <c r="F883" s="12" t="s">
        <v>536</v>
      </c>
      <c r="G883" s="12" t="s">
        <v>461</v>
      </c>
      <c r="H883" s="12" t="s">
        <v>461</v>
      </c>
      <c r="I883" s="160">
        <v>0</v>
      </c>
      <c r="J883" s="15">
        <v>348106.74000000005</v>
      </c>
      <c r="K883" s="25" t="s">
        <v>461</v>
      </c>
    </row>
    <row r="884" spans="1:11" x14ac:dyDescent="0.25">
      <c r="A884" s="267"/>
      <c r="B884" s="154"/>
      <c r="C884" s="154" t="s">
        <v>1019</v>
      </c>
      <c r="D884" s="11">
        <v>75</v>
      </c>
      <c r="E884" s="8" t="s">
        <v>661</v>
      </c>
      <c r="F884" s="12" t="s">
        <v>536</v>
      </c>
      <c r="G884" s="12" t="s">
        <v>461</v>
      </c>
      <c r="H884" s="12" t="s">
        <v>461</v>
      </c>
      <c r="I884" s="160">
        <v>0</v>
      </c>
      <c r="J884" s="15">
        <v>146029.79</v>
      </c>
      <c r="K884" s="25" t="s">
        <v>461</v>
      </c>
    </row>
    <row r="885" spans="1:11" x14ac:dyDescent="0.25">
      <c r="A885" s="278" t="s">
        <v>773</v>
      </c>
      <c r="B885" s="249" t="s">
        <v>461</v>
      </c>
      <c r="C885" s="249" t="s">
        <v>774</v>
      </c>
      <c r="D885" s="11">
        <v>75</v>
      </c>
      <c r="E885" s="30" t="s">
        <v>775</v>
      </c>
      <c r="F885" s="12" t="s">
        <v>536</v>
      </c>
      <c r="G885" s="12" t="s">
        <v>461</v>
      </c>
      <c r="H885" s="12" t="s">
        <v>461</v>
      </c>
      <c r="I885" s="160">
        <v>0</v>
      </c>
      <c r="J885" s="15">
        <v>339959.93</v>
      </c>
      <c r="K885" s="13" t="s">
        <v>461</v>
      </c>
    </row>
    <row r="886" spans="1:11" x14ac:dyDescent="0.25">
      <c r="A886" s="267"/>
      <c r="B886" s="154"/>
      <c r="C886" s="154" t="s">
        <v>1020</v>
      </c>
      <c r="D886" s="11">
        <v>75</v>
      </c>
      <c r="E886" s="8" t="s">
        <v>661</v>
      </c>
      <c r="F886" s="12" t="s">
        <v>536</v>
      </c>
      <c r="G886" s="12" t="s">
        <v>461</v>
      </c>
      <c r="H886" s="12" t="s">
        <v>461</v>
      </c>
      <c r="I886" s="160">
        <v>0</v>
      </c>
      <c r="J886" s="15">
        <v>255369.95999999996</v>
      </c>
      <c r="K886" s="13" t="s">
        <v>461</v>
      </c>
    </row>
    <row r="887" spans="1:11" x14ac:dyDescent="0.25">
      <c r="A887" s="278" t="s">
        <v>773</v>
      </c>
      <c r="B887" s="249" t="s">
        <v>461</v>
      </c>
      <c r="C887" s="249" t="s">
        <v>813</v>
      </c>
      <c r="D887" s="11">
        <v>75</v>
      </c>
      <c r="E887" s="30" t="s">
        <v>775</v>
      </c>
      <c r="F887" s="12" t="s">
        <v>536</v>
      </c>
      <c r="G887" s="12" t="s">
        <v>461</v>
      </c>
      <c r="H887" s="12" t="s">
        <v>461</v>
      </c>
      <c r="I887" s="160">
        <v>0</v>
      </c>
      <c r="J887" s="15">
        <v>478520.39</v>
      </c>
      <c r="K887" s="25" t="s">
        <v>461</v>
      </c>
    </row>
    <row r="888" spans="1:11" x14ac:dyDescent="0.25">
      <c r="A888" s="267"/>
      <c r="B888" s="154"/>
      <c r="C888" s="154" t="s">
        <v>1021</v>
      </c>
      <c r="D888" s="11">
        <v>75</v>
      </c>
      <c r="E888" s="8" t="s">
        <v>661</v>
      </c>
      <c r="F888" s="12" t="s">
        <v>536</v>
      </c>
      <c r="G888" s="12" t="s">
        <v>461</v>
      </c>
      <c r="H888" s="12" t="s">
        <v>461</v>
      </c>
      <c r="I888" s="160">
        <v>0</v>
      </c>
      <c r="J888" s="15">
        <v>423724.85</v>
      </c>
      <c r="K888" s="25" t="s">
        <v>461</v>
      </c>
    </row>
    <row r="889" spans="1:11" x14ac:dyDescent="0.25">
      <c r="A889" s="278" t="s">
        <v>773</v>
      </c>
      <c r="B889" s="249" t="s">
        <v>461</v>
      </c>
      <c r="C889" s="249" t="s">
        <v>1023</v>
      </c>
      <c r="D889" s="11">
        <v>75</v>
      </c>
      <c r="E889" s="30" t="s">
        <v>775</v>
      </c>
      <c r="F889" s="12" t="s">
        <v>536</v>
      </c>
      <c r="G889" s="12" t="s">
        <v>461</v>
      </c>
      <c r="H889" s="12" t="s">
        <v>461</v>
      </c>
      <c r="I889" s="160">
        <v>0</v>
      </c>
      <c r="J889" s="15">
        <v>694979.4</v>
      </c>
      <c r="K889" s="25" t="s">
        <v>461</v>
      </c>
    </row>
    <row r="890" spans="1:11" x14ac:dyDescent="0.25">
      <c r="A890" s="267"/>
      <c r="B890" s="154"/>
      <c r="C890" s="154" t="s">
        <v>1022</v>
      </c>
      <c r="D890" s="11">
        <v>75</v>
      </c>
      <c r="E890" s="8" t="s">
        <v>661</v>
      </c>
      <c r="F890" s="12" t="s">
        <v>536</v>
      </c>
      <c r="G890" s="12" t="s">
        <v>461</v>
      </c>
      <c r="H890" s="12" t="s">
        <v>461</v>
      </c>
      <c r="I890" s="160">
        <v>0</v>
      </c>
      <c r="J890" s="15">
        <v>140129.53000000003</v>
      </c>
      <c r="K890" s="25" t="s">
        <v>461</v>
      </c>
    </row>
    <row r="891" spans="1:11" x14ac:dyDescent="0.25">
      <c r="A891" s="278" t="s">
        <v>773</v>
      </c>
      <c r="B891" s="249" t="s">
        <v>461</v>
      </c>
      <c r="C891" s="249" t="s">
        <v>916</v>
      </c>
      <c r="D891" s="11">
        <v>75</v>
      </c>
      <c r="E891" s="30" t="s">
        <v>775</v>
      </c>
      <c r="F891" s="12" t="s">
        <v>536</v>
      </c>
      <c r="G891" s="12" t="s">
        <v>461</v>
      </c>
      <c r="H891" s="12" t="s">
        <v>461</v>
      </c>
      <c r="I891" s="160">
        <v>0</v>
      </c>
      <c r="J891" s="15">
        <v>1853831.0299999998</v>
      </c>
      <c r="K891" s="248" t="s">
        <v>461</v>
      </c>
    </row>
    <row r="892" spans="1:11" x14ac:dyDescent="0.25">
      <c r="A892" s="267"/>
      <c r="B892" s="154"/>
      <c r="C892" s="154" t="s">
        <v>1024</v>
      </c>
      <c r="D892" s="11">
        <v>75</v>
      </c>
      <c r="E892" s="8" t="s">
        <v>661</v>
      </c>
      <c r="F892" s="12" t="s">
        <v>536</v>
      </c>
      <c r="G892" s="12" t="s">
        <v>461</v>
      </c>
      <c r="H892" s="12" t="s">
        <v>461</v>
      </c>
      <c r="I892" s="160">
        <v>0</v>
      </c>
      <c r="J892" s="15">
        <v>335082.09000000003</v>
      </c>
      <c r="K892" s="248" t="s">
        <v>461</v>
      </c>
    </row>
    <row r="893" spans="1:11" x14ac:dyDescent="0.25">
      <c r="A893" s="149" t="s">
        <v>773</v>
      </c>
      <c r="B893" s="249" t="s">
        <v>461</v>
      </c>
      <c r="C893" s="249" t="s">
        <v>916</v>
      </c>
      <c r="D893" s="11">
        <v>75</v>
      </c>
      <c r="E893" s="30" t="s">
        <v>775</v>
      </c>
      <c r="F893" s="12" t="s">
        <v>536</v>
      </c>
      <c r="G893" s="12" t="s">
        <v>461</v>
      </c>
      <c r="H893" s="12" t="s">
        <v>461</v>
      </c>
      <c r="I893" s="160">
        <v>0</v>
      </c>
      <c r="J893" s="15">
        <v>868635.64999999991</v>
      </c>
      <c r="K893" s="248" t="s">
        <v>461</v>
      </c>
    </row>
    <row r="894" spans="1:11" x14ac:dyDescent="0.25">
      <c r="A894" s="151"/>
      <c r="B894" s="154"/>
      <c r="C894" s="165" t="s">
        <v>1025</v>
      </c>
      <c r="D894" s="11">
        <v>75</v>
      </c>
      <c r="E894" s="8" t="s">
        <v>661</v>
      </c>
      <c r="F894" s="12" t="s">
        <v>536</v>
      </c>
      <c r="G894" s="12" t="s">
        <v>461</v>
      </c>
      <c r="H894" s="12" t="s">
        <v>461</v>
      </c>
      <c r="I894" s="160">
        <v>0</v>
      </c>
      <c r="J894" s="15">
        <v>386326</v>
      </c>
      <c r="K894" s="248" t="s">
        <v>461</v>
      </c>
    </row>
    <row r="895" spans="1:11" x14ac:dyDescent="0.25">
      <c r="A895" s="278" t="s">
        <v>773</v>
      </c>
      <c r="B895" s="249" t="s">
        <v>461</v>
      </c>
      <c r="C895" s="249" t="s">
        <v>813</v>
      </c>
      <c r="D895" s="11">
        <v>75</v>
      </c>
      <c r="E895" s="30" t="s">
        <v>775</v>
      </c>
      <c r="F895" s="12" t="s">
        <v>536</v>
      </c>
      <c r="G895" s="12" t="s">
        <v>461</v>
      </c>
      <c r="H895" s="12" t="s">
        <v>461</v>
      </c>
      <c r="I895" s="160">
        <v>0</v>
      </c>
      <c r="J895" s="15">
        <v>188008.86</v>
      </c>
      <c r="K895" s="25" t="s">
        <v>461</v>
      </c>
    </row>
    <row r="896" spans="1:11" x14ac:dyDescent="0.25">
      <c r="A896" s="279"/>
      <c r="B896" s="241"/>
      <c r="C896" s="241" t="s">
        <v>1044</v>
      </c>
      <c r="D896" s="11">
        <v>75</v>
      </c>
      <c r="E896" s="8" t="s">
        <v>661</v>
      </c>
      <c r="F896" s="12" t="s">
        <v>536</v>
      </c>
      <c r="G896" s="12" t="s">
        <v>461</v>
      </c>
      <c r="H896" s="12" t="s">
        <v>461</v>
      </c>
      <c r="I896" s="160">
        <v>0</v>
      </c>
      <c r="J896" s="15">
        <v>181123.55</v>
      </c>
      <c r="K896" s="25" t="s">
        <v>461</v>
      </c>
    </row>
    <row r="897" spans="1:11" x14ac:dyDescent="0.25">
      <c r="A897" s="278" t="s">
        <v>773</v>
      </c>
      <c r="B897" s="249" t="s">
        <v>461</v>
      </c>
      <c r="C897" s="249" t="s">
        <v>916</v>
      </c>
      <c r="D897" s="11">
        <v>75</v>
      </c>
      <c r="E897" s="30" t="s">
        <v>775</v>
      </c>
      <c r="F897" s="12" t="s">
        <v>536</v>
      </c>
      <c r="G897" s="12" t="s">
        <v>461</v>
      </c>
      <c r="H897" s="12" t="s">
        <v>461</v>
      </c>
      <c r="I897" s="160">
        <v>0</v>
      </c>
      <c r="J897" s="15">
        <v>969461.1</v>
      </c>
      <c r="K897" s="13" t="s">
        <v>461</v>
      </c>
    </row>
    <row r="898" spans="1:11" x14ac:dyDescent="0.25">
      <c r="A898" s="267"/>
      <c r="B898" s="154"/>
      <c r="C898" s="154" t="s">
        <v>1045</v>
      </c>
      <c r="D898" s="11">
        <v>75</v>
      </c>
      <c r="E898" s="8" t="s">
        <v>661</v>
      </c>
      <c r="F898" s="12" t="s">
        <v>536</v>
      </c>
      <c r="G898" s="12" t="s">
        <v>461</v>
      </c>
      <c r="H898" s="12" t="s">
        <v>461</v>
      </c>
      <c r="I898" s="160">
        <v>0</v>
      </c>
      <c r="J898" s="15">
        <v>433852.39</v>
      </c>
      <c r="K898" s="13" t="s">
        <v>461</v>
      </c>
    </row>
    <row r="899" spans="1:11" x14ac:dyDescent="0.25">
      <c r="A899" s="278" t="s">
        <v>773</v>
      </c>
      <c r="B899" s="249" t="s">
        <v>461</v>
      </c>
      <c r="C899" s="249" t="s">
        <v>1042</v>
      </c>
      <c r="D899" s="11">
        <v>75</v>
      </c>
      <c r="E899" s="30" t="s">
        <v>775</v>
      </c>
      <c r="F899" s="12" t="s">
        <v>536</v>
      </c>
      <c r="G899" s="12" t="s">
        <v>461</v>
      </c>
      <c r="H899" s="12" t="s">
        <v>461</v>
      </c>
      <c r="I899" s="160">
        <v>0</v>
      </c>
      <c r="J899" s="15">
        <v>419456.95</v>
      </c>
      <c r="K899" s="13" t="s">
        <v>461</v>
      </c>
    </row>
    <row r="900" spans="1:11" x14ac:dyDescent="0.25">
      <c r="A900" s="267"/>
      <c r="B900" s="154"/>
      <c r="C900" s="154" t="s">
        <v>1046</v>
      </c>
      <c r="D900" s="11">
        <v>75</v>
      </c>
      <c r="E900" s="8" t="s">
        <v>661</v>
      </c>
      <c r="F900" s="12" t="s">
        <v>536</v>
      </c>
      <c r="G900" s="12" t="s">
        <v>461</v>
      </c>
      <c r="H900" s="12" t="s">
        <v>461</v>
      </c>
      <c r="I900" s="160">
        <v>0</v>
      </c>
      <c r="J900" s="15">
        <v>213319.27</v>
      </c>
      <c r="K900" s="13" t="s">
        <v>461</v>
      </c>
    </row>
    <row r="901" spans="1:11" x14ac:dyDescent="0.25">
      <c r="A901" s="278" t="s">
        <v>773</v>
      </c>
      <c r="B901" s="249" t="s">
        <v>461</v>
      </c>
      <c r="C901" s="249" t="s">
        <v>1043</v>
      </c>
      <c r="D901" s="11">
        <v>75</v>
      </c>
      <c r="E901" s="30" t="s">
        <v>775</v>
      </c>
      <c r="F901" s="12" t="s">
        <v>536</v>
      </c>
      <c r="G901" s="12" t="s">
        <v>461</v>
      </c>
      <c r="H901" s="12" t="s">
        <v>461</v>
      </c>
      <c r="I901" s="160">
        <v>0</v>
      </c>
      <c r="J901" s="15">
        <v>250444.84999999998</v>
      </c>
      <c r="K901" s="13" t="s">
        <v>461</v>
      </c>
    </row>
    <row r="902" spans="1:11" x14ac:dyDescent="0.25">
      <c r="A902" s="267"/>
      <c r="B902" s="154"/>
      <c r="C902" s="154" t="s">
        <v>1047</v>
      </c>
      <c r="D902" s="11">
        <v>75</v>
      </c>
      <c r="E902" s="8" t="s">
        <v>661</v>
      </c>
      <c r="F902" s="12" t="s">
        <v>536</v>
      </c>
      <c r="G902" s="12" t="s">
        <v>461</v>
      </c>
      <c r="H902" s="12" t="s">
        <v>461</v>
      </c>
      <c r="I902" s="160">
        <v>0</v>
      </c>
      <c r="J902" s="15">
        <v>425544.54999999993</v>
      </c>
      <c r="K902" s="13" t="s">
        <v>461</v>
      </c>
    </row>
    <row r="903" spans="1:11" x14ac:dyDescent="0.25">
      <c r="A903" s="278" t="s">
        <v>773</v>
      </c>
      <c r="B903" s="249" t="s">
        <v>461</v>
      </c>
      <c r="C903" s="249" t="s">
        <v>916</v>
      </c>
      <c r="D903" s="11">
        <v>75</v>
      </c>
      <c r="E903" s="30" t="s">
        <v>775</v>
      </c>
      <c r="F903" s="12" t="s">
        <v>536</v>
      </c>
      <c r="G903" s="12" t="s">
        <v>461</v>
      </c>
      <c r="H903" s="12" t="s">
        <v>461</v>
      </c>
      <c r="I903" s="160">
        <v>0</v>
      </c>
      <c r="J903" s="15">
        <v>1398549.2299999997</v>
      </c>
      <c r="K903" s="25" t="s">
        <v>461</v>
      </c>
    </row>
    <row r="904" spans="1:11" x14ac:dyDescent="0.25">
      <c r="A904" s="267"/>
      <c r="B904" s="154"/>
      <c r="C904" s="154" t="s">
        <v>1048</v>
      </c>
      <c r="D904" s="11">
        <v>75</v>
      </c>
      <c r="E904" s="8" t="s">
        <v>661</v>
      </c>
      <c r="F904" s="12" t="s">
        <v>536</v>
      </c>
      <c r="G904" s="12" t="s">
        <v>461</v>
      </c>
      <c r="H904" s="12" t="s">
        <v>461</v>
      </c>
      <c r="I904" s="160">
        <v>0</v>
      </c>
      <c r="J904" s="15">
        <v>447355.92</v>
      </c>
      <c r="K904" s="25" t="s">
        <v>461</v>
      </c>
    </row>
    <row r="905" spans="1:11" x14ac:dyDescent="0.25">
      <c r="A905" s="278" t="s">
        <v>773</v>
      </c>
      <c r="B905" s="249" t="s">
        <v>461</v>
      </c>
      <c r="C905" s="249" t="s">
        <v>1001</v>
      </c>
      <c r="D905" s="11">
        <v>75</v>
      </c>
      <c r="E905" s="30" t="s">
        <v>775</v>
      </c>
      <c r="F905" s="12" t="s">
        <v>536</v>
      </c>
      <c r="G905" s="12" t="s">
        <v>461</v>
      </c>
      <c r="H905" s="12" t="s">
        <v>461</v>
      </c>
      <c r="I905" s="160">
        <v>0</v>
      </c>
      <c r="J905" s="15">
        <v>276276.06</v>
      </c>
      <c r="K905" s="25" t="s">
        <v>461</v>
      </c>
    </row>
    <row r="906" spans="1:11" x14ac:dyDescent="0.25">
      <c r="A906" s="267"/>
      <c r="B906" s="154"/>
      <c r="C906" s="154" t="s">
        <v>1058</v>
      </c>
      <c r="D906" s="11">
        <v>75</v>
      </c>
      <c r="E906" s="8" t="s">
        <v>661</v>
      </c>
      <c r="F906" s="12" t="s">
        <v>536</v>
      </c>
      <c r="G906" s="12" t="s">
        <v>461</v>
      </c>
      <c r="H906" s="12" t="s">
        <v>461</v>
      </c>
      <c r="I906" s="160">
        <v>0</v>
      </c>
      <c r="J906" s="15">
        <v>156480.94</v>
      </c>
      <c r="K906" s="25" t="s">
        <v>461</v>
      </c>
    </row>
    <row r="907" spans="1:11" x14ac:dyDescent="0.25">
      <c r="A907" s="278" t="s">
        <v>773</v>
      </c>
      <c r="B907" s="249" t="s">
        <v>461</v>
      </c>
      <c r="C907" s="249" t="s">
        <v>916</v>
      </c>
      <c r="D907" s="11">
        <v>75</v>
      </c>
      <c r="E907" s="30" t="s">
        <v>775</v>
      </c>
      <c r="F907" s="12" t="s">
        <v>536</v>
      </c>
      <c r="G907" s="12" t="s">
        <v>461</v>
      </c>
      <c r="H907" s="12" t="s">
        <v>461</v>
      </c>
      <c r="I907" s="160">
        <v>0</v>
      </c>
      <c r="J907" s="15">
        <v>663199.56000000006</v>
      </c>
      <c r="K907" s="25" t="s">
        <v>461</v>
      </c>
    </row>
    <row r="908" spans="1:11" x14ac:dyDescent="0.25">
      <c r="A908" s="267"/>
      <c r="B908" s="154"/>
      <c r="C908" s="154" t="s">
        <v>1057</v>
      </c>
      <c r="D908" s="11">
        <v>75</v>
      </c>
      <c r="E908" s="8" t="s">
        <v>661</v>
      </c>
      <c r="F908" s="12" t="s">
        <v>536</v>
      </c>
      <c r="G908" s="12" t="s">
        <v>461</v>
      </c>
      <c r="H908" s="12" t="s">
        <v>461</v>
      </c>
      <c r="I908" s="160">
        <v>0</v>
      </c>
      <c r="J908" s="15">
        <v>209955.98</v>
      </c>
      <c r="K908" s="25" t="s">
        <v>461</v>
      </c>
    </row>
    <row r="909" spans="1:11" x14ac:dyDescent="0.25">
      <c r="A909" s="278" t="s">
        <v>773</v>
      </c>
      <c r="B909" s="249" t="s">
        <v>461</v>
      </c>
      <c r="C909" s="249" t="s">
        <v>1059</v>
      </c>
      <c r="D909" s="11">
        <v>75</v>
      </c>
      <c r="E909" s="30" t="s">
        <v>775</v>
      </c>
      <c r="F909" s="12" t="s">
        <v>536</v>
      </c>
      <c r="G909" s="12" t="s">
        <v>461</v>
      </c>
      <c r="H909" s="12" t="s">
        <v>461</v>
      </c>
      <c r="I909" s="160">
        <v>0</v>
      </c>
      <c r="J909" s="15">
        <v>1433872.13</v>
      </c>
      <c r="K909" s="25" t="s">
        <v>461</v>
      </c>
    </row>
    <row r="910" spans="1:11" x14ac:dyDescent="0.25">
      <c r="A910" s="267"/>
      <c r="B910" s="154"/>
      <c r="C910" s="154" t="s">
        <v>1060</v>
      </c>
      <c r="D910" s="11">
        <v>75</v>
      </c>
      <c r="E910" s="8" t="s">
        <v>661</v>
      </c>
      <c r="F910" s="12" t="s">
        <v>536</v>
      </c>
      <c r="G910" s="12" t="s">
        <v>461</v>
      </c>
      <c r="H910" s="12" t="s">
        <v>461</v>
      </c>
      <c r="I910" s="160">
        <v>0</v>
      </c>
      <c r="J910" s="15">
        <v>239527</v>
      </c>
      <c r="K910" s="25" t="s">
        <v>461</v>
      </c>
    </row>
    <row r="911" spans="1:11" x14ac:dyDescent="0.25">
      <c r="A911" s="278" t="s">
        <v>773</v>
      </c>
      <c r="B911" s="249" t="s">
        <v>461</v>
      </c>
      <c r="C911" s="249" t="s">
        <v>917</v>
      </c>
      <c r="D911" s="11">
        <v>75</v>
      </c>
      <c r="E911" s="30" t="s">
        <v>775</v>
      </c>
      <c r="F911" s="12" t="s">
        <v>536</v>
      </c>
      <c r="G911" s="12" t="s">
        <v>461</v>
      </c>
      <c r="H911" s="12" t="s">
        <v>461</v>
      </c>
      <c r="I911" s="160">
        <v>0</v>
      </c>
      <c r="J911" s="15">
        <v>82831.83</v>
      </c>
      <c r="K911" s="25" t="s">
        <v>461</v>
      </c>
    </row>
    <row r="912" spans="1:11" x14ac:dyDescent="0.25">
      <c r="A912" s="267"/>
      <c r="B912" s="154"/>
      <c r="C912" s="154" t="s">
        <v>1061</v>
      </c>
      <c r="D912" s="11">
        <v>75</v>
      </c>
      <c r="E912" s="8" t="s">
        <v>661</v>
      </c>
      <c r="F912" s="12" t="s">
        <v>536</v>
      </c>
      <c r="G912" s="12" t="s">
        <v>461</v>
      </c>
      <c r="H912" s="12" t="s">
        <v>461</v>
      </c>
      <c r="I912" s="160">
        <v>0</v>
      </c>
      <c r="J912" s="15">
        <v>111164.81</v>
      </c>
      <c r="K912" s="25" t="s">
        <v>461</v>
      </c>
    </row>
    <row r="913" spans="1:11" x14ac:dyDescent="0.25">
      <c r="A913" s="278" t="s">
        <v>773</v>
      </c>
      <c r="B913" s="249" t="s">
        <v>461</v>
      </c>
      <c r="C913" s="249" t="s">
        <v>1055</v>
      </c>
      <c r="D913" s="11">
        <v>75</v>
      </c>
      <c r="E913" s="30" t="s">
        <v>775</v>
      </c>
      <c r="F913" s="12" t="s">
        <v>536</v>
      </c>
      <c r="G913" s="12" t="s">
        <v>461</v>
      </c>
      <c r="H913" s="12" t="s">
        <v>461</v>
      </c>
      <c r="I913" s="160">
        <v>0</v>
      </c>
      <c r="J913" s="15">
        <v>996132.6</v>
      </c>
      <c r="K913" s="25" t="s">
        <v>461</v>
      </c>
    </row>
    <row r="914" spans="1:11" x14ac:dyDescent="0.25">
      <c r="A914" s="267"/>
      <c r="B914" s="154"/>
      <c r="C914" s="154" t="s">
        <v>1056</v>
      </c>
      <c r="D914" s="11">
        <v>75</v>
      </c>
      <c r="E914" s="8" t="s">
        <v>661</v>
      </c>
      <c r="F914" s="12" t="s">
        <v>536</v>
      </c>
      <c r="G914" s="12" t="s">
        <v>461</v>
      </c>
      <c r="H914" s="12" t="s">
        <v>461</v>
      </c>
      <c r="I914" s="160">
        <v>0</v>
      </c>
      <c r="J914" s="15">
        <v>354302.37999999995</v>
      </c>
      <c r="K914" s="25" t="s">
        <v>461</v>
      </c>
    </row>
    <row r="915" spans="1:11" x14ac:dyDescent="0.25">
      <c r="A915" s="278" t="s">
        <v>773</v>
      </c>
      <c r="B915" s="249" t="s">
        <v>461</v>
      </c>
      <c r="C915" s="249" t="s">
        <v>813</v>
      </c>
      <c r="D915" s="11">
        <v>75</v>
      </c>
      <c r="E915" s="30" t="s">
        <v>775</v>
      </c>
      <c r="F915" s="12" t="s">
        <v>536</v>
      </c>
      <c r="G915" s="12" t="s">
        <v>461</v>
      </c>
      <c r="H915" s="12" t="s">
        <v>461</v>
      </c>
      <c r="I915" s="160">
        <v>0</v>
      </c>
      <c r="J915" s="15">
        <v>438754.12</v>
      </c>
      <c r="K915" s="25" t="s">
        <v>461</v>
      </c>
    </row>
    <row r="916" spans="1:11" x14ac:dyDescent="0.25">
      <c r="A916" s="267"/>
      <c r="B916" s="154"/>
      <c r="C916" s="154" t="s">
        <v>1062</v>
      </c>
      <c r="D916" s="11">
        <v>75</v>
      </c>
      <c r="E916" s="8" t="s">
        <v>661</v>
      </c>
      <c r="F916" s="12" t="s">
        <v>536</v>
      </c>
      <c r="G916" s="12" t="s">
        <v>461</v>
      </c>
      <c r="H916" s="12" t="s">
        <v>461</v>
      </c>
      <c r="I916" s="160">
        <v>0</v>
      </c>
      <c r="J916" s="15">
        <v>516624.03</v>
      </c>
      <c r="K916" s="25" t="s">
        <v>461</v>
      </c>
    </row>
    <row r="917" spans="1:11" x14ac:dyDescent="0.25">
      <c r="A917" s="278" t="s">
        <v>773</v>
      </c>
      <c r="B917" s="249" t="s">
        <v>461</v>
      </c>
      <c r="C917" s="249" t="s">
        <v>813</v>
      </c>
      <c r="D917" s="11">
        <v>75</v>
      </c>
      <c r="E917" s="30" t="s">
        <v>775</v>
      </c>
      <c r="F917" s="12" t="s">
        <v>536</v>
      </c>
      <c r="G917" s="12" t="s">
        <v>461</v>
      </c>
      <c r="H917" s="12" t="s">
        <v>461</v>
      </c>
      <c r="I917" s="160">
        <v>0</v>
      </c>
      <c r="J917" s="15">
        <v>889645.69000000006</v>
      </c>
      <c r="K917" s="25" t="s">
        <v>461</v>
      </c>
    </row>
    <row r="918" spans="1:11" x14ac:dyDescent="0.25">
      <c r="A918" s="267"/>
      <c r="B918" s="154"/>
      <c r="C918" s="154" t="s">
        <v>1156</v>
      </c>
      <c r="D918" s="11">
        <v>75</v>
      </c>
      <c r="E918" s="8" t="s">
        <v>661</v>
      </c>
      <c r="F918" s="12" t="s">
        <v>536</v>
      </c>
      <c r="G918" s="12" t="s">
        <v>461</v>
      </c>
      <c r="H918" s="12" t="s">
        <v>461</v>
      </c>
      <c r="I918" s="160">
        <v>0</v>
      </c>
      <c r="J918" s="15">
        <v>512130.68000000005</v>
      </c>
      <c r="K918" s="25" t="s">
        <v>461</v>
      </c>
    </row>
    <row r="919" spans="1:11" x14ac:dyDescent="0.25">
      <c r="A919" s="278" t="s">
        <v>773</v>
      </c>
      <c r="B919" s="249" t="s">
        <v>461</v>
      </c>
      <c r="C919" s="249" t="s">
        <v>917</v>
      </c>
      <c r="D919" s="11">
        <v>75</v>
      </c>
      <c r="E919" s="30" t="s">
        <v>775</v>
      </c>
      <c r="F919" s="12" t="s">
        <v>536</v>
      </c>
      <c r="G919" s="12" t="s">
        <v>461</v>
      </c>
      <c r="H919" s="12" t="s">
        <v>461</v>
      </c>
      <c r="I919" s="160">
        <v>0</v>
      </c>
      <c r="J919" s="15">
        <v>387838.73</v>
      </c>
      <c r="K919" s="25" t="s">
        <v>461</v>
      </c>
    </row>
    <row r="920" spans="1:11" x14ac:dyDescent="0.25">
      <c r="A920" s="267"/>
      <c r="B920" s="154"/>
      <c r="C920" s="154" t="s">
        <v>1068</v>
      </c>
      <c r="D920" s="11">
        <v>75</v>
      </c>
      <c r="E920" s="8" t="s">
        <v>661</v>
      </c>
      <c r="F920" s="12" t="s">
        <v>536</v>
      </c>
      <c r="G920" s="12" t="s">
        <v>461</v>
      </c>
      <c r="H920" s="12" t="s">
        <v>461</v>
      </c>
      <c r="I920" s="160">
        <v>0</v>
      </c>
      <c r="J920" s="15">
        <v>681819.19</v>
      </c>
      <c r="K920" s="25" t="s">
        <v>461</v>
      </c>
    </row>
    <row r="921" spans="1:11" x14ac:dyDescent="0.25">
      <c r="A921" s="52"/>
      <c r="B921" s="52"/>
      <c r="C921" s="52"/>
      <c r="D921" s="52"/>
      <c r="E921" s="53"/>
      <c r="F921" s="52"/>
      <c r="G921" s="53"/>
      <c r="H921" s="54"/>
      <c r="I921" s="55"/>
      <c r="J921" s="55"/>
      <c r="K921" s="55"/>
    </row>
    <row r="922" spans="1:11" x14ac:dyDescent="0.25">
      <c r="A922" s="1"/>
      <c r="B922" s="1"/>
      <c r="C922" s="1"/>
      <c r="D922" s="1"/>
      <c r="E922" s="56"/>
      <c r="F922" s="1"/>
      <c r="G922" s="57"/>
      <c r="H922" s="58" t="s">
        <v>765</v>
      </c>
      <c r="I922" s="59"/>
      <c r="J922" s="59">
        <f>SUM(J5:J920)</f>
        <v>22629338811.266666</v>
      </c>
      <c r="K922" s="169"/>
    </row>
    <row r="923" spans="1:11" x14ac:dyDescent="0.25">
      <c r="A923" s="303" t="s">
        <v>558</v>
      </c>
      <c r="B923" s="303"/>
      <c r="C923" s="303"/>
      <c r="D923" s="303"/>
      <c r="E923" s="303"/>
      <c r="F923" s="303"/>
      <c r="G923" s="303"/>
      <c r="H923" s="303"/>
      <c r="I923" s="303"/>
      <c r="J923" s="303"/>
      <c r="K923" s="303"/>
    </row>
    <row r="924" spans="1:11" x14ac:dyDescent="0.25">
      <c r="A924" s="303" t="s">
        <v>559</v>
      </c>
      <c r="B924" s="303"/>
      <c r="C924" s="303"/>
      <c r="D924" s="303"/>
      <c r="E924" s="303"/>
      <c r="F924" s="303"/>
      <c r="G924" s="303"/>
      <c r="H924" s="303"/>
      <c r="I924" s="303"/>
      <c r="J924" s="303"/>
      <c r="K924" s="303"/>
    </row>
    <row r="925" spans="1:11" x14ac:dyDescent="0.25">
      <c r="A925" s="303" t="s">
        <v>556</v>
      </c>
      <c r="B925" s="303"/>
      <c r="C925" s="303"/>
      <c r="D925" s="303"/>
      <c r="E925" s="303"/>
      <c r="F925" s="303"/>
      <c r="G925" s="303"/>
      <c r="H925" s="303"/>
      <c r="I925" s="303"/>
      <c r="J925" s="303"/>
      <c r="K925" s="303"/>
    </row>
    <row r="926" spans="1:11" x14ac:dyDescent="0.25">
      <c r="A926" s="273"/>
      <c r="B926" s="273"/>
      <c r="C926" s="273"/>
      <c r="D926" s="273"/>
      <c r="E926" s="273"/>
      <c r="F926" s="273"/>
      <c r="G926" s="273"/>
      <c r="H926" s="273"/>
      <c r="I926" s="60"/>
      <c r="J926" s="60"/>
      <c r="K926" s="273"/>
    </row>
    <row r="927" spans="1:11" x14ac:dyDescent="0.25">
      <c r="A927" s="303" t="s">
        <v>768</v>
      </c>
      <c r="B927" s="303"/>
      <c r="C927" s="303"/>
      <c r="D927" s="303"/>
      <c r="E927" s="303"/>
      <c r="F927" s="303"/>
      <c r="G927" s="303"/>
      <c r="H927" s="303"/>
      <c r="I927" s="303"/>
      <c r="J927" s="303"/>
      <c r="K927" s="303"/>
    </row>
  </sheetData>
  <protectedRanges>
    <protectedRange sqref="B58" name="Range1"/>
  </protectedRanges>
  <autoFilter ref="A4:K920"/>
  <sortState ref="A3:V653">
    <sortCondition ref="A3:A653"/>
    <sortCondition ref="B3:B653"/>
  </sortState>
  <mergeCells count="22">
    <mergeCell ref="H3:I3"/>
    <mergeCell ref="E3:G3"/>
    <mergeCell ref="A854:A855"/>
    <mergeCell ref="A845:A846"/>
    <mergeCell ref="B845:B846"/>
    <mergeCell ref="B854:B855"/>
    <mergeCell ref="A925:K925"/>
    <mergeCell ref="A927:K927"/>
    <mergeCell ref="A923:K923"/>
    <mergeCell ref="A924:K924"/>
    <mergeCell ref="A1:K1"/>
    <mergeCell ref="A2:K2"/>
    <mergeCell ref="C854:C855"/>
    <mergeCell ref="C845:C846"/>
    <mergeCell ref="D845:D846"/>
    <mergeCell ref="J845:J846"/>
    <mergeCell ref="K845:K846"/>
    <mergeCell ref="J854:J855"/>
    <mergeCell ref="K854:K855"/>
    <mergeCell ref="D854:D855"/>
    <mergeCell ref="E854:E855"/>
    <mergeCell ref="E845:E846"/>
  </mergeCells>
  <printOptions horizontalCentered="1" gridLines="1"/>
  <pageMargins left="0.25" right="0.25" top="0.75" bottom="0.75" header="0.3" footer="0.3"/>
  <pageSetup paperSize="5" scale="52"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58"/>
  <sheetViews>
    <sheetView view="pageBreakPreview" zoomScale="85" zoomScaleNormal="85" zoomScaleSheetLayoutView="85" workbookViewId="0">
      <selection activeCell="A144" sqref="A144:J144"/>
    </sheetView>
  </sheetViews>
  <sheetFormatPr defaultColWidth="14.28515625" defaultRowHeight="15" x14ac:dyDescent="0.25"/>
  <cols>
    <col min="1" max="1" width="9" style="285" customWidth="1"/>
    <col min="2" max="2" width="74.28515625" style="285" customWidth="1"/>
    <col min="3" max="3" width="47.7109375" style="285" customWidth="1"/>
    <col min="4" max="4" width="9.85546875" style="285" customWidth="1"/>
    <col min="5" max="5" width="14.28515625" style="285" customWidth="1"/>
    <col min="6" max="6" width="25.7109375" style="285" customWidth="1"/>
    <col min="7" max="7" width="12.5703125" style="285" customWidth="1"/>
    <col min="8" max="9" width="18.7109375" style="285" customWidth="1"/>
    <col min="10" max="16384" width="14.28515625" style="285"/>
  </cols>
  <sheetData>
    <row r="1" spans="1:9" x14ac:dyDescent="0.25">
      <c r="A1" s="338" t="s">
        <v>767</v>
      </c>
      <c r="B1" s="338"/>
      <c r="C1" s="338"/>
      <c r="D1" s="338"/>
      <c r="E1" s="338"/>
      <c r="F1" s="338"/>
      <c r="G1" s="338"/>
      <c r="H1" s="338"/>
      <c r="I1" s="338"/>
    </row>
    <row r="2" spans="1:9" x14ac:dyDescent="0.25">
      <c r="A2" s="339"/>
      <c r="B2" s="339"/>
      <c r="C2" s="339"/>
      <c r="D2" s="339"/>
      <c r="E2" s="339"/>
      <c r="F2" s="339"/>
      <c r="G2" s="339"/>
      <c r="H2" s="339"/>
      <c r="I2" s="339"/>
    </row>
    <row r="3" spans="1:9" ht="27" customHeight="1" x14ac:dyDescent="0.25">
      <c r="A3" s="303" t="s">
        <v>1258</v>
      </c>
      <c r="B3" s="303"/>
      <c r="C3" s="303"/>
      <c r="D3" s="303"/>
      <c r="E3" s="303"/>
      <c r="F3" s="303"/>
      <c r="G3" s="303"/>
      <c r="H3" s="303"/>
      <c r="I3" s="303"/>
    </row>
    <row r="4" spans="1:9" ht="15" customHeight="1" x14ac:dyDescent="0.25">
      <c r="A4" s="303" t="s">
        <v>1259</v>
      </c>
      <c r="B4" s="303"/>
      <c r="C4" s="303"/>
      <c r="D4" s="303"/>
      <c r="E4" s="303"/>
      <c r="F4" s="303"/>
      <c r="G4" s="303"/>
      <c r="H4" s="303"/>
      <c r="I4" s="303"/>
    </row>
    <row r="5" spans="1:9" ht="30" customHeight="1" x14ac:dyDescent="0.25">
      <c r="A5" s="333" t="s">
        <v>1267</v>
      </c>
      <c r="B5" s="333"/>
      <c r="C5" s="333"/>
      <c r="D5" s="333"/>
      <c r="E5" s="333"/>
      <c r="F5" s="333"/>
      <c r="G5" s="333"/>
      <c r="H5" s="333"/>
      <c r="I5" s="333"/>
    </row>
    <row r="6" spans="1:9" ht="15" customHeight="1" x14ac:dyDescent="0.25">
      <c r="A6" s="333" t="s">
        <v>1257</v>
      </c>
      <c r="B6" s="333"/>
      <c r="C6" s="333"/>
      <c r="D6" s="333"/>
      <c r="E6" s="333"/>
      <c r="F6" s="333"/>
      <c r="G6" s="333"/>
      <c r="H6" s="333"/>
      <c r="I6" s="333"/>
    </row>
    <row r="7" spans="1:9" ht="15" customHeight="1" x14ac:dyDescent="0.25">
      <c r="A7" s="303" t="s">
        <v>744</v>
      </c>
      <c r="B7" s="303"/>
      <c r="C7" s="303"/>
      <c r="D7" s="303"/>
      <c r="E7" s="303"/>
      <c r="F7" s="303"/>
      <c r="G7" s="303"/>
      <c r="H7" s="303"/>
      <c r="I7" s="303"/>
    </row>
    <row r="8" spans="1:9" ht="15" customHeight="1" x14ac:dyDescent="0.25">
      <c r="A8" s="331" t="s">
        <v>743</v>
      </c>
      <c r="B8" s="331"/>
      <c r="C8" s="331"/>
      <c r="D8" s="331"/>
      <c r="E8" s="331"/>
      <c r="F8" s="331"/>
      <c r="G8" s="331"/>
      <c r="H8" s="331"/>
      <c r="I8" s="331"/>
    </row>
    <row r="9" spans="1:9" ht="15" customHeight="1" x14ac:dyDescent="0.25">
      <c r="A9" s="303" t="s">
        <v>1066</v>
      </c>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ht="15" customHeight="1" x14ac:dyDescent="0.25">
      <c r="A15" s="341" t="s">
        <v>1017</v>
      </c>
      <c r="B15" s="341"/>
      <c r="C15" s="341"/>
      <c r="D15" s="341"/>
      <c r="E15" s="341"/>
      <c r="F15" s="341"/>
      <c r="G15" s="341"/>
      <c r="H15" s="341"/>
      <c r="I15" s="341"/>
    </row>
    <row r="16" spans="1:9" x14ac:dyDescent="0.25">
      <c r="A16" s="341"/>
      <c r="B16" s="341"/>
      <c r="C16" s="341"/>
      <c r="D16" s="341"/>
      <c r="E16" s="341"/>
      <c r="F16" s="341"/>
      <c r="G16" s="341"/>
      <c r="H16" s="341"/>
      <c r="I16" s="341"/>
    </row>
    <row r="17" spans="1:9" x14ac:dyDescent="0.25">
      <c r="A17" s="341"/>
      <c r="B17" s="341"/>
      <c r="C17" s="341"/>
      <c r="D17" s="341"/>
      <c r="E17" s="341"/>
      <c r="F17" s="341"/>
      <c r="G17" s="341"/>
      <c r="H17" s="341"/>
      <c r="I17" s="341"/>
    </row>
    <row r="18" spans="1:9" x14ac:dyDescent="0.25">
      <c r="A18" s="341"/>
      <c r="B18" s="341"/>
      <c r="C18" s="341"/>
      <c r="D18" s="341"/>
      <c r="E18" s="341"/>
      <c r="F18" s="341"/>
      <c r="G18" s="341"/>
      <c r="H18" s="341"/>
      <c r="I18" s="341"/>
    </row>
    <row r="19" spans="1:9" ht="15" customHeight="1" x14ac:dyDescent="0.25">
      <c r="A19" s="337" t="s">
        <v>667</v>
      </c>
      <c r="B19" s="337"/>
      <c r="C19" s="337"/>
      <c r="D19" s="337"/>
      <c r="E19" s="337"/>
      <c r="F19" s="337"/>
      <c r="G19" s="337"/>
      <c r="H19" s="337"/>
      <c r="I19" s="337"/>
    </row>
    <row r="20" spans="1:9" ht="15" customHeight="1" x14ac:dyDescent="0.25">
      <c r="A20" s="337"/>
      <c r="B20" s="337"/>
      <c r="C20" s="337"/>
      <c r="D20" s="337"/>
      <c r="E20" s="337"/>
      <c r="F20" s="337"/>
      <c r="G20" s="337"/>
      <c r="H20" s="337"/>
      <c r="I20" s="337"/>
    </row>
    <row r="21" spans="1:9" ht="15" customHeight="1" x14ac:dyDescent="0.25">
      <c r="A21" s="303" t="s">
        <v>1050</v>
      </c>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30" t="s">
        <v>784</v>
      </c>
      <c r="B24" s="330"/>
      <c r="C24" s="330"/>
      <c r="D24" s="330"/>
      <c r="E24" s="330"/>
      <c r="F24" s="330"/>
      <c r="G24" s="330"/>
      <c r="H24" s="330"/>
      <c r="I24" s="330"/>
    </row>
    <row r="25" spans="1:9" ht="15" customHeight="1" x14ac:dyDescent="0.25">
      <c r="A25" s="335" t="s">
        <v>788</v>
      </c>
      <c r="B25" s="335"/>
      <c r="C25" s="335"/>
      <c r="D25" s="335"/>
      <c r="E25" s="335"/>
      <c r="F25" s="335"/>
      <c r="G25" s="335"/>
      <c r="H25" s="335"/>
      <c r="I25" s="335"/>
    </row>
    <row r="26" spans="1:9" x14ac:dyDescent="0.25">
      <c r="A26" s="335"/>
      <c r="B26" s="335"/>
      <c r="C26" s="335"/>
      <c r="D26" s="335"/>
      <c r="E26" s="335"/>
      <c r="F26" s="335"/>
      <c r="G26" s="335"/>
      <c r="H26" s="335"/>
      <c r="I26" s="335"/>
    </row>
    <row r="27" spans="1:9" ht="15" customHeight="1" x14ac:dyDescent="0.25">
      <c r="A27" s="335" t="s">
        <v>785</v>
      </c>
      <c r="B27" s="335"/>
      <c r="C27" s="335"/>
      <c r="D27" s="335"/>
      <c r="E27" s="335"/>
      <c r="F27" s="335"/>
      <c r="G27" s="335"/>
      <c r="H27" s="335"/>
      <c r="I27" s="335"/>
    </row>
    <row r="28" spans="1:9" ht="15" customHeight="1" x14ac:dyDescent="0.25">
      <c r="A28" s="335"/>
      <c r="B28" s="335"/>
      <c r="C28" s="335"/>
      <c r="D28" s="335"/>
      <c r="E28" s="335"/>
      <c r="F28" s="335"/>
      <c r="G28" s="335"/>
      <c r="H28" s="335"/>
      <c r="I28" s="335"/>
    </row>
    <row r="29" spans="1:9" x14ac:dyDescent="0.25">
      <c r="A29" s="331" t="s">
        <v>707</v>
      </c>
      <c r="B29" s="331"/>
      <c r="C29" s="331"/>
      <c r="D29" s="331"/>
      <c r="E29" s="331"/>
      <c r="F29" s="331"/>
      <c r="G29" s="331"/>
      <c r="H29" s="331"/>
      <c r="I29" s="331"/>
    </row>
    <row r="30" spans="1:9" x14ac:dyDescent="0.25">
      <c r="A30" s="331"/>
      <c r="B30" s="331"/>
      <c r="C30" s="331"/>
      <c r="D30" s="331"/>
      <c r="E30" s="331"/>
      <c r="F30" s="331"/>
      <c r="G30" s="331"/>
      <c r="H30" s="331"/>
      <c r="I30" s="331"/>
    </row>
    <row r="31" spans="1:9" x14ac:dyDescent="0.25">
      <c r="A31" s="336" t="s">
        <v>735</v>
      </c>
      <c r="B31" s="336"/>
      <c r="C31" s="336"/>
      <c r="D31" s="336"/>
      <c r="E31" s="336"/>
      <c r="F31" s="336"/>
      <c r="G31" s="336"/>
      <c r="H31" s="336"/>
      <c r="I31" s="336"/>
    </row>
    <row r="32" spans="1:9" x14ac:dyDescent="0.25">
      <c r="A32" s="336" t="s">
        <v>1016</v>
      </c>
      <c r="B32" s="336"/>
      <c r="C32" s="336"/>
      <c r="D32" s="336"/>
      <c r="E32" s="336"/>
      <c r="F32" s="336"/>
      <c r="G32" s="336"/>
      <c r="H32" s="336"/>
      <c r="I32" s="336"/>
    </row>
    <row r="33" spans="1:10" x14ac:dyDescent="0.25">
      <c r="A33" s="336" t="s">
        <v>778</v>
      </c>
      <c r="B33" s="336"/>
      <c r="C33" s="336"/>
      <c r="D33" s="336"/>
      <c r="E33" s="336"/>
      <c r="F33" s="336"/>
      <c r="G33" s="336"/>
      <c r="H33" s="336"/>
      <c r="I33" s="336"/>
    </row>
    <row r="34" spans="1:10" ht="15" customHeight="1" x14ac:dyDescent="0.25">
      <c r="A34" s="331" t="s">
        <v>730</v>
      </c>
      <c r="B34" s="331"/>
      <c r="C34" s="331"/>
      <c r="D34" s="331"/>
      <c r="E34" s="331"/>
      <c r="F34" s="331"/>
      <c r="G34" s="331"/>
      <c r="H34" s="331"/>
      <c r="I34" s="331"/>
    </row>
    <row r="35" spans="1:10" x14ac:dyDescent="0.25">
      <c r="A35" s="330" t="s">
        <v>731</v>
      </c>
      <c r="B35" s="330"/>
      <c r="C35" s="330"/>
      <c r="D35" s="330"/>
      <c r="E35" s="330"/>
      <c r="F35" s="330"/>
      <c r="G35" s="330"/>
      <c r="H35" s="330"/>
      <c r="I35" s="330"/>
    </row>
    <row r="36" spans="1:10" x14ac:dyDescent="0.25">
      <c r="A36" s="334" t="s">
        <v>732</v>
      </c>
      <c r="B36" s="334"/>
      <c r="C36" s="334"/>
      <c r="D36" s="334"/>
      <c r="E36" s="334"/>
      <c r="F36" s="334"/>
      <c r="G36" s="334"/>
      <c r="H36" s="334"/>
      <c r="I36" s="334"/>
      <c r="J36" s="334"/>
    </row>
    <row r="37" spans="1:10" x14ac:dyDescent="0.25">
      <c r="A37" s="283" t="s">
        <v>1038</v>
      </c>
      <c r="B37" s="283"/>
      <c r="C37" s="283"/>
      <c r="D37" s="283"/>
      <c r="E37" s="283"/>
      <c r="F37" s="283"/>
      <c r="G37" s="283"/>
      <c r="H37" s="283"/>
      <c r="I37" s="283"/>
      <c r="J37" s="283"/>
    </row>
    <row r="38" spans="1:10" x14ac:dyDescent="0.25">
      <c r="A38" s="337" t="s">
        <v>1007</v>
      </c>
      <c r="B38" s="337"/>
      <c r="C38" s="337"/>
      <c r="D38" s="337"/>
      <c r="E38" s="337"/>
      <c r="F38" s="337"/>
      <c r="G38" s="337"/>
      <c r="H38" s="337"/>
      <c r="I38" s="337"/>
    </row>
    <row r="39" spans="1:10" x14ac:dyDescent="0.25">
      <c r="A39" s="337"/>
      <c r="B39" s="337"/>
      <c r="C39" s="337"/>
      <c r="D39" s="337"/>
      <c r="E39" s="337"/>
      <c r="F39" s="337"/>
      <c r="G39" s="337"/>
      <c r="H39" s="337"/>
      <c r="I39" s="337"/>
    </row>
    <row r="40" spans="1:10" ht="29.25" customHeight="1" x14ac:dyDescent="0.25">
      <c r="A40" s="337" t="s">
        <v>1067</v>
      </c>
      <c r="B40" s="337"/>
      <c r="C40" s="337"/>
      <c r="D40" s="337"/>
      <c r="E40" s="337"/>
      <c r="F40" s="337"/>
      <c r="G40" s="337"/>
      <c r="H40" s="337"/>
      <c r="I40" s="337"/>
    </row>
    <row r="41" spans="1:10" x14ac:dyDescent="0.25">
      <c r="A41" s="336" t="s">
        <v>789</v>
      </c>
      <c r="B41" s="336"/>
      <c r="C41" s="336"/>
      <c r="D41" s="336"/>
      <c r="E41" s="336"/>
      <c r="F41" s="336"/>
      <c r="G41" s="336"/>
      <c r="H41" s="336"/>
      <c r="I41" s="336"/>
    </row>
    <row r="42" spans="1:10" x14ac:dyDescent="0.25">
      <c r="A42" s="330" t="s">
        <v>764</v>
      </c>
      <c r="B42" s="330"/>
      <c r="C42" s="330"/>
      <c r="D42" s="330"/>
      <c r="E42" s="330"/>
      <c r="F42" s="330"/>
      <c r="G42" s="330"/>
      <c r="H42" s="330"/>
      <c r="I42" s="330"/>
    </row>
    <row r="43" spans="1:10" ht="15" customHeight="1" x14ac:dyDescent="0.25">
      <c r="A43" s="335" t="s">
        <v>733</v>
      </c>
      <c r="B43" s="335"/>
      <c r="C43" s="335"/>
      <c r="D43" s="335"/>
      <c r="E43" s="335"/>
      <c r="F43" s="335"/>
      <c r="G43" s="335"/>
      <c r="H43" s="335"/>
      <c r="I43" s="335"/>
    </row>
    <row r="44" spans="1:10" ht="15" customHeight="1" x14ac:dyDescent="0.25">
      <c r="A44" s="335"/>
      <c r="B44" s="335"/>
      <c r="C44" s="335"/>
      <c r="D44" s="335"/>
      <c r="E44" s="335"/>
      <c r="F44" s="335"/>
      <c r="G44" s="335"/>
      <c r="H44" s="335"/>
      <c r="I44" s="335"/>
    </row>
    <row r="45" spans="1:10" ht="30.75" customHeight="1" x14ac:dyDescent="0.25">
      <c r="A45" s="335" t="s">
        <v>771</v>
      </c>
      <c r="B45" s="335"/>
      <c r="C45" s="335"/>
      <c r="D45" s="335"/>
      <c r="E45" s="335"/>
      <c r="F45" s="335"/>
      <c r="G45" s="335"/>
      <c r="H45" s="335"/>
      <c r="I45" s="335"/>
    </row>
    <row r="46" spans="1:10" x14ac:dyDescent="0.25">
      <c r="A46" s="330" t="s">
        <v>769</v>
      </c>
      <c r="B46" s="330"/>
      <c r="C46" s="330"/>
      <c r="D46" s="330"/>
      <c r="E46" s="330"/>
      <c r="F46" s="330"/>
      <c r="G46" s="330"/>
      <c r="H46" s="330"/>
      <c r="I46" s="330"/>
    </row>
    <row r="47" spans="1:10" s="282" customFormat="1" ht="30" customHeight="1" x14ac:dyDescent="0.25">
      <c r="A47" s="335" t="s">
        <v>1256</v>
      </c>
      <c r="B47" s="335"/>
      <c r="C47" s="335"/>
      <c r="D47" s="335"/>
      <c r="E47" s="335"/>
      <c r="F47" s="335"/>
      <c r="G47" s="335"/>
      <c r="H47" s="335"/>
      <c r="I47" s="335"/>
    </row>
    <row r="48" spans="1:10" ht="15" customHeight="1" x14ac:dyDescent="0.25">
      <c r="A48" s="335" t="s">
        <v>741</v>
      </c>
      <c r="B48" s="335"/>
      <c r="C48" s="335"/>
      <c r="D48" s="335"/>
      <c r="E48" s="335"/>
      <c r="F48" s="335"/>
      <c r="G48" s="335"/>
      <c r="H48" s="335"/>
      <c r="I48" s="335"/>
    </row>
    <row r="49" spans="1:9" x14ac:dyDescent="0.25">
      <c r="A49" s="335"/>
      <c r="B49" s="335"/>
      <c r="C49" s="335"/>
      <c r="D49" s="335"/>
      <c r="E49" s="335"/>
      <c r="F49" s="335"/>
      <c r="G49" s="335"/>
      <c r="H49" s="335"/>
      <c r="I49" s="335"/>
    </row>
    <row r="50" spans="1:9" x14ac:dyDescent="0.25">
      <c r="A50" s="330" t="s">
        <v>782</v>
      </c>
      <c r="B50" s="330"/>
      <c r="C50" s="330"/>
      <c r="D50" s="330"/>
      <c r="E50" s="330"/>
      <c r="F50" s="330"/>
      <c r="G50" s="330"/>
      <c r="H50" s="330"/>
      <c r="I50" s="330"/>
    </row>
    <row r="51" spans="1:9" x14ac:dyDescent="0.25">
      <c r="A51" s="330" t="s">
        <v>747</v>
      </c>
      <c r="B51" s="330"/>
      <c r="C51" s="330"/>
      <c r="D51" s="330"/>
      <c r="E51" s="330"/>
      <c r="F51" s="330"/>
      <c r="G51" s="330"/>
      <c r="H51" s="330"/>
      <c r="I51" s="330"/>
    </row>
    <row r="52" spans="1:9" ht="15" customHeight="1" x14ac:dyDescent="0.25">
      <c r="A52" s="331" t="s">
        <v>748</v>
      </c>
      <c r="B52" s="331"/>
      <c r="C52" s="331"/>
      <c r="D52" s="331"/>
      <c r="E52" s="331"/>
      <c r="F52" s="331"/>
      <c r="G52" s="331"/>
      <c r="H52" s="331"/>
      <c r="I52" s="331"/>
    </row>
    <row r="53" spans="1:9" ht="15" customHeight="1" x14ac:dyDescent="0.25">
      <c r="A53" s="331" t="s">
        <v>803</v>
      </c>
      <c r="B53" s="331"/>
      <c r="C53" s="331"/>
      <c r="D53" s="331"/>
      <c r="E53" s="331"/>
      <c r="F53" s="331"/>
      <c r="G53" s="331"/>
      <c r="H53" s="331"/>
      <c r="I53" s="331"/>
    </row>
    <row r="54" spans="1:9" ht="15" customHeight="1" x14ac:dyDescent="0.25">
      <c r="A54" s="340" t="s">
        <v>806</v>
      </c>
      <c r="B54" s="340"/>
      <c r="C54" s="340"/>
      <c r="D54" s="340"/>
      <c r="E54" s="340"/>
      <c r="F54" s="340"/>
      <c r="G54" s="340"/>
      <c r="H54" s="340"/>
      <c r="I54" s="340"/>
    </row>
    <row r="55" spans="1:9" x14ac:dyDescent="0.25">
      <c r="A55" s="340"/>
      <c r="B55" s="340"/>
      <c r="C55" s="340"/>
      <c r="D55" s="340"/>
      <c r="E55" s="340"/>
      <c r="F55" s="340"/>
      <c r="G55" s="340"/>
      <c r="H55" s="340"/>
      <c r="I55" s="340"/>
    </row>
    <row r="56" spans="1:9" x14ac:dyDescent="0.25">
      <c r="A56" s="340"/>
      <c r="B56" s="340"/>
      <c r="C56" s="340"/>
      <c r="D56" s="340"/>
      <c r="E56" s="340"/>
      <c r="F56" s="340"/>
      <c r="G56" s="340"/>
      <c r="H56" s="340"/>
      <c r="I56" s="340"/>
    </row>
    <row r="57" spans="1:9" x14ac:dyDescent="0.25">
      <c r="A57" s="340"/>
      <c r="B57" s="340"/>
      <c r="C57" s="340"/>
      <c r="D57" s="340"/>
      <c r="E57" s="340"/>
      <c r="F57" s="340"/>
      <c r="G57" s="340"/>
      <c r="H57" s="340"/>
      <c r="I57" s="340"/>
    </row>
    <row r="58" spans="1:9" ht="15" customHeight="1" x14ac:dyDescent="0.25">
      <c r="A58" s="335" t="s">
        <v>802</v>
      </c>
      <c r="B58" s="335"/>
      <c r="C58" s="335"/>
      <c r="D58" s="335"/>
      <c r="E58" s="335"/>
      <c r="F58" s="335"/>
      <c r="G58" s="335"/>
      <c r="H58" s="335"/>
      <c r="I58" s="335"/>
    </row>
    <row r="59" spans="1:9" ht="15" customHeight="1" x14ac:dyDescent="0.25">
      <c r="A59" s="335" t="s">
        <v>793</v>
      </c>
      <c r="B59" s="335"/>
      <c r="C59" s="335"/>
      <c r="D59" s="335"/>
      <c r="E59" s="335"/>
      <c r="F59" s="335"/>
      <c r="G59" s="335"/>
      <c r="H59" s="335"/>
      <c r="I59" s="335"/>
    </row>
    <row r="60" spans="1:9" ht="15" customHeight="1" x14ac:dyDescent="0.25">
      <c r="A60" s="335"/>
      <c r="B60" s="335"/>
      <c r="C60" s="335"/>
      <c r="D60" s="335"/>
      <c r="E60" s="335"/>
      <c r="F60" s="335"/>
      <c r="G60" s="335"/>
      <c r="H60" s="335"/>
      <c r="I60" s="335"/>
    </row>
    <row r="61" spans="1:9" ht="15" customHeight="1" x14ac:dyDescent="0.25">
      <c r="A61" s="335" t="s">
        <v>787</v>
      </c>
      <c r="B61" s="335"/>
      <c r="C61" s="335"/>
      <c r="D61" s="335"/>
      <c r="E61" s="335"/>
      <c r="F61" s="335"/>
      <c r="G61" s="335"/>
      <c r="H61" s="335"/>
      <c r="I61" s="335"/>
    </row>
    <row r="62" spans="1:9" x14ac:dyDescent="0.25">
      <c r="A62" s="330" t="s">
        <v>786</v>
      </c>
      <c r="B62" s="330"/>
      <c r="C62" s="330"/>
      <c r="D62" s="330"/>
      <c r="E62" s="330"/>
      <c r="F62" s="330"/>
      <c r="G62" s="330"/>
      <c r="H62" s="330"/>
      <c r="I62" s="330"/>
    </row>
    <row r="63" spans="1:9" ht="15" customHeight="1" x14ac:dyDescent="0.25">
      <c r="A63" s="335" t="s">
        <v>750</v>
      </c>
      <c r="B63" s="335"/>
      <c r="C63" s="335"/>
      <c r="D63" s="335"/>
      <c r="E63" s="335"/>
      <c r="F63" s="335"/>
      <c r="G63" s="335"/>
      <c r="H63" s="335"/>
      <c r="I63" s="335"/>
    </row>
    <row r="64" spans="1:9" x14ac:dyDescent="0.25">
      <c r="A64" s="330" t="s">
        <v>772</v>
      </c>
      <c r="B64" s="330"/>
      <c r="C64" s="330"/>
      <c r="D64" s="330"/>
      <c r="E64" s="330"/>
      <c r="F64" s="330"/>
      <c r="G64" s="330"/>
      <c r="H64" s="330"/>
      <c r="I64" s="330"/>
    </row>
    <row r="65" spans="1:9" x14ac:dyDescent="0.25">
      <c r="A65" s="335" t="s">
        <v>790</v>
      </c>
      <c r="B65" s="335"/>
      <c r="C65" s="335"/>
      <c r="D65" s="335"/>
      <c r="E65" s="335"/>
      <c r="F65" s="335"/>
      <c r="G65" s="335"/>
      <c r="H65" s="335"/>
      <c r="I65" s="335"/>
    </row>
    <row r="66" spans="1:9" x14ac:dyDescent="0.25">
      <c r="A66" s="335"/>
      <c r="B66" s="335"/>
      <c r="C66" s="335"/>
      <c r="D66" s="335"/>
      <c r="E66" s="335"/>
      <c r="F66" s="335"/>
      <c r="G66" s="335"/>
      <c r="H66" s="335"/>
      <c r="I66" s="335"/>
    </row>
    <row r="67" spans="1:9" ht="15" customHeight="1" x14ac:dyDescent="0.25">
      <c r="A67" s="332" t="s">
        <v>791</v>
      </c>
      <c r="B67" s="332"/>
      <c r="C67" s="332"/>
      <c r="D67" s="332"/>
      <c r="E67" s="332"/>
      <c r="F67" s="332"/>
      <c r="G67" s="332"/>
      <c r="H67" s="332"/>
      <c r="I67" s="332"/>
    </row>
    <row r="68" spans="1:9" ht="15" customHeight="1" x14ac:dyDescent="0.25">
      <c r="A68" s="332"/>
      <c r="B68" s="332"/>
      <c r="C68" s="332"/>
      <c r="D68" s="332"/>
      <c r="E68" s="332"/>
      <c r="F68" s="332"/>
      <c r="G68" s="332"/>
      <c r="H68" s="332"/>
      <c r="I68" s="332"/>
    </row>
    <row r="69" spans="1:9" ht="15" customHeight="1" x14ac:dyDescent="0.25">
      <c r="A69" s="343" t="s">
        <v>792</v>
      </c>
      <c r="B69" s="343"/>
      <c r="C69" s="343"/>
      <c r="D69" s="343"/>
      <c r="E69" s="343"/>
      <c r="F69" s="343"/>
      <c r="G69" s="343"/>
      <c r="H69" s="343"/>
      <c r="I69" s="343"/>
    </row>
    <row r="70" spans="1:9" x14ac:dyDescent="0.25">
      <c r="A70" s="343"/>
      <c r="B70" s="343"/>
      <c r="C70" s="343"/>
      <c r="D70" s="343"/>
      <c r="E70" s="343"/>
      <c r="F70" s="343"/>
      <c r="G70" s="343"/>
      <c r="H70" s="343"/>
      <c r="I70" s="343"/>
    </row>
    <row r="71" spans="1:9" ht="42" customHeight="1" x14ac:dyDescent="0.25">
      <c r="A71" s="303" t="s">
        <v>1004</v>
      </c>
      <c r="B71" s="303"/>
      <c r="C71" s="303"/>
      <c r="D71" s="303"/>
      <c r="E71" s="303"/>
      <c r="F71" s="303"/>
      <c r="G71" s="303"/>
      <c r="H71" s="303"/>
      <c r="I71" s="303"/>
    </row>
    <row r="72" spans="1:9" ht="15" customHeight="1" x14ac:dyDescent="0.25">
      <c r="A72" s="332" t="s">
        <v>1009</v>
      </c>
      <c r="B72" s="332"/>
      <c r="C72" s="332"/>
      <c r="D72" s="332"/>
      <c r="E72" s="332"/>
      <c r="F72" s="332"/>
      <c r="G72" s="332"/>
      <c r="H72" s="332"/>
      <c r="I72" s="332"/>
    </row>
    <row r="73" spans="1:9" x14ac:dyDescent="0.25">
      <c r="A73" s="332"/>
      <c r="B73" s="332"/>
      <c r="C73" s="332"/>
      <c r="D73" s="332"/>
      <c r="E73" s="332"/>
      <c r="F73" s="332"/>
      <c r="G73" s="332"/>
      <c r="H73" s="332"/>
      <c r="I73" s="332"/>
    </row>
    <row r="74" spans="1:9" x14ac:dyDescent="0.25">
      <c r="A74" s="344" t="s">
        <v>809</v>
      </c>
      <c r="B74" s="344"/>
      <c r="C74" s="344"/>
      <c r="D74" s="344"/>
      <c r="E74" s="344"/>
      <c r="F74" s="344"/>
      <c r="G74" s="344"/>
      <c r="H74" s="344"/>
      <c r="I74" s="344"/>
    </row>
    <row r="75" spans="1:9" x14ac:dyDescent="0.25">
      <c r="A75" s="344" t="s">
        <v>810</v>
      </c>
      <c r="B75" s="344"/>
      <c r="C75" s="344"/>
      <c r="D75" s="344"/>
      <c r="E75" s="344"/>
      <c r="F75" s="344"/>
      <c r="G75" s="344"/>
      <c r="H75" s="344"/>
      <c r="I75" s="344"/>
    </row>
    <row r="76" spans="1:9" ht="15" customHeight="1" x14ac:dyDescent="0.25">
      <c r="A76" s="331" t="s">
        <v>1164</v>
      </c>
      <c r="B76" s="331"/>
      <c r="C76" s="331"/>
      <c r="D76" s="331"/>
      <c r="E76" s="331"/>
      <c r="F76" s="331"/>
      <c r="G76" s="331"/>
      <c r="H76" s="331"/>
      <c r="I76" s="331"/>
    </row>
    <row r="77" spans="1:9" x14ac:dyDescent="0.25">
      <c r="A77" s="331"/>
      <c r="B77" s="331"/>
      <c r="C77" s="331"/>
      <c r="D77" s="331"/>
      <c r="E77" s="331"/>
      <c r="F77" s="331"/>
      <c r="G77" s="331"/>
      <c r="H77" s="331"/>
      <c r="I77" s="331"/>
    </row>
    <row r="78" spans="1:9" x14ac:dyDescent="0.25">
      <c r="A78" s="331"/>
      <c r="B78" s="331"/>
      <c r="C78" s="331"/>
      <c r="D78" s="331"/>
      <c r="E78" s="331"/>
      <c r="F78" s="331"/>
      <c r="G78" s="331"/>
      <c r="H78" s="331"/>
      <c r="I78" s="331"/>
    </row>
    <row r="79" spans="1:9" ht="15" customHeight="1" x14ac:dyDescent="0.25">
      <c r="A79" s="332" t="s">
        <v>1370</v>
      </c>
      <c r="B79" s="332"/>
      <c r="C79" s="332"/>
      <c r="D79" s="332"/>
      <c r="E79" s="332"/>
      <c r="F79" s="332"/>
      <c r="G79" s="332"/>
      <c r="H79" s="332"/>
      <c r="I79" s="332"/>
    </row>
    <row r="80" spans="1:9" x14ac:dyDescent="0.25">
      <c r="A80" s="332"/>
      <c r="B80" s="332"/>
      <c r="C80" s="332"/>
      <c r="D80" s="332"/>
      <c r="E80" s="332"/>
      <c r="F80" s="332"/>
      <c r="G80" s="332"/>
      <c r="H80" s="332"/>
      <c r="I80" s="332"/>
    </row>
    <row r="81" spans="1:10" ht="45.75" customHeight="1" x14ac:dyDescent="0.25">
      <c r="A81" s="332"/>
      <c r="B81" s="332"/>
      <c r="C81" s="332"/>
      <c r="D81" s="332"/>
      <c r="E81" s="332"/>
      <c r="F81" s="332"/>
      <c r="G81" s="332"/>
      <c r="H81" s="332"/>
      <c r="I81" s="332"/>
    </row>
    <row r="82" spans="1:10" x14ac:dyDescent="0.25">
      <c r="A82" s="344" t="s">
        <v>898</v>
      </c>
      <c r="B82" s="344"/>
      <c r="C82" s="344"/>
      <c r="D82" s="344"/>
      <c r="E82" s="344"/>
      <c r="F82" s="344"/>
      <c r="G82" s="344"/>
      <c r="H82" s="344"/>
      <c r="I82" s="344"/>
    </row>
    <row r="83" spans="1:10" ht="15" customHeight="1" x14ac:dyDescent="0.25">
      <c r="A83" s="343" t="s">
        <v>1005</v>
      </c>
      <c r="B83" s="343"/>
      <c r="C83" s="343"/>
      <c r="D83" s="343"/>
      <c r="E83" s="343"/>
      <c r="F83" s="343"/>
      <c r="G83" s="343"/>
      <c r="H83" s="343"/>
      <c r="I83" s="343"/>
    </row>
    <row r="84" spans="1:10" x14ac:dyDescent="0.25">
      <c r="A84" s="343"/>
      <c r="B84" s="343"/>
      <c r="C84" s="343"/>
      <c r="D84" s="343"/>
      <c r="E84" s="343"/>
      <c r="F84" s="343"/>
      <c r="G84" s="343"/>
      <c r="H84" s="343"/>
      <c r="I84" s="343"/>
    </row>
    <row r="85" spans="1:10" ht="15" customHeight="1" x14ac:dyDescent="0.25">
      <c r="A85" s="332" t="s">
        <v>1008</v>
      </c>
      <c r="B85" s="332"/>
      <c r="C85" s="332"/>
      <c r="D85" s="332"/>
      <c r="E85" s="332"/>
      <c r="F85" s="332"/>
      <c r="G85" s="332"/>
      <c r="H85" s="332"/>
      <c r="I85" s="332"/>
    </row>
    <row r="86" spans="1:10" x14ac:dyDescent="0.25">
      <c r="A86" s="332"/>
      <c r="B86" s="332"/>
      <c r="C86" s="332"/>
      <c r="D86" s="332"/>
      <c r="E86" s="332"/>
      <c r="F86" s="332"/>
      <c r="G86" s="332"/>
      <c r="H86" s="332"/>
      <c r="I86" s="332"/>
    </row>
    <row r="87" spans="1:10" x14ac:dyDescent="0.25">
      <c r="A87" s="342" t="s">
        <v>1049</v>
      </c>
      <c r="B87" s="342"/>
      <c r="C87" s="342"/>
      <c r="D87" s="342"/>
      <c r="E87" s="342"/>
      <c r="F87" s="342"/>
      <c r="G87" s="342"/>
      <c r="H87" s="342"/>
      <c r="I87" s="342"/>
    </row>
    <row r="88" spans="1:10" x14ac:dyDescent="0.25">
      <c r="A88" s="342"/>
      <c r="B88" s="342"/>
      <c r="C88" s="342"/>
      <c r="D88" s="342"/>
      <c r="E88" s="342"/>
      <c r="F88" s="342"/>
      <c r="G88" s="342"/>
      <c r="H88" s="342"/>
      <c r="I88" s="342"/>
    </row>
    <row r="89" spans="1:10" x14ac:dyDescent="0.25">
      <c r="A89" s="342" t="s">
        <v>1054</v>
      </c>
      <c r="B89" s="342"/>
      <c r="C89" s="342"/>
      <c r="D89" s="342"/>
      <c r="E89" s="342"/>
      <c r="F89" s="342"/>
      <c r="G89" s="342"/>
      <c r="H89" s="342"/>
      <c r="I89" s="342"/>
    </row>
    <row r="90" spans="1:10" x14ac:dyDescent="0.25">
      <c r="A90" s="342"/>
      <c r="B90" s="342"/>
      <c r="C90" s="342"/>
      <c r="D90" s="342"/>
      <c r="E90" s="342"/>
      <c r="F90" s="342"/>
      <c r="G90" s="342"/>
      <c r="H90" s="342"/>
      <c r="I90" s="342"/>
    </row>
    <row r="91" spans="1:10" ht="15" customHeight="1" x14ac:dyDescent="0.25">
      <c r="A91" s="342" t="s">
        <v>1069</v>
      </c>
      <c r="B91" s="342"/>
      <c r="C91" s="342"/>
      <c r="D91" s="342"/>
      <c r="E91" s="342"/>
      <c r="F91" s="342"/>
      <c r="G91" s="342"/>
      <c r="H91" s="342"/>
      <c r="I91" s="342"/>
    </row>
    <row r="92" spans="1:10" x14ac:dyDescent="0.25">
      <c r="A92" s="342"/>
      <c r="B92" s="342"/>
      <c r="C92" s="342"/>
      <c r="D92" s="342"/>
      <c r="E92" s="342"/>
      <c r="F92" s="342"/>
      <c r="G92" s="342"/>
      <c r="H92" s="342"/>
      <c r="I92" s="342"/>
    </row>
    <row r="93" spans="1:10" x14ac:dyDescent="0.25">
      <c r="A93" s="327" t="s">
        <v>1097</v>
      </c>
      <c r="B93" s="327"/>
      <c r="C93" s="327"/>
      <c r="D93" s="327"/>
      <c r="E93" s="327"/>
      <c r="F93" s="327"/>
      <c r="G93" s="327"/>
      <c r="H93" s="327"/>
      <c r="I93" s="327"/>
    </row>
    <row r="94" spans="1:10" x14ac:dyDescent="0.25">
      <c r="A94" s="327"/>
      <c r="B94" s="327"/>
      <c r="C94" s="327"/>
      <c r="D94" s="327"/>
      <c r="E94" s="327"/>
      <c r="F94" s="327"/>
      <c r="G94" s="327"/>
      <c r="H94" s="327"/>
      <c r="I94" s="327"/>
    </row>
    <row r="95" spans="1:10" x14ac:dyDescent="0.25">
      <c r="A95" s="327" t="s">
        <v>1098</v>
      </c>
      <c r="B95" s="327"/>
      <c r="C95" s="327"/>
      <c r="D95" s="327"/>
      <c r="E95" s="327"/>
      <c r="F95" s="327"/>
      <c r="G95" s="327"/>
      <c r="H95" s="327"/>
      <c r="I95" s="327"/>
      <c r="J95" s="327"/>
    </row>
    <row r="96" spans="1:10" x14ac:dyDescent="0.25">
      <c r="A96" s="327"/>
      <c r="B96" s="327"/>
      <c r="C96" s="327"/>
      <c r="D96" s="327"/>
      <c r="E96" s="327"/>
      <c r="F96" s="327"/>
      <c r="G96" s="327"/>
      <c r="H96" s="327"/>
      <c r="I96" s="327"/>
      <c r="J96" s="327"/>
    </row>
    <row r="97" spans="1:10" x14ac:dyDescent="0.25">
      <c r="A97" s="327" t="s">
        <v>1100</v>
      </c>
      <c r="B97" s="327"/>
      <c r="C97" s="327"/>
      <c r="D97" s="327"/>
      <c r="E97" s="327"/>
      <c r="F97" s="327"/>
      <c r="G97" s="327"/>
      <c r="H97" s="327"/>
      <c r="I97" s="327"/>
      <c r="J97" s="327"/>
    </row>
    <row r="98" spans="1:10" x14ac:dyDescent="0.25">
      <c r="A98" s="327"/>
      <c r="B98" s="327"/>
      <c r="C98" s="327"/>
      <c r="D98" s="327"/>
      <c r="E98" s="327"/>
      <c r="F98" s="327"/>
      <c r="G98" s="327"/>
      <c r="H98" s="327"/>
      <c r="I98" s="327"/>
      <c r="J98" s="327"/>
    </row>
    <row r="99" spans="1:10" x14ac:dyDescent="0.25">
      <c r="A99" s="327" t="s">
        <v>1101</v>
      </c>
      <c r="B99" s="327"/>
      <c r="C99" s="327"/>
      <c r="D99" s="327"/>
      <c r="E99" s="327"/>
      <c r="F99" s="327"/>
      <c r="G99" s="327"/>
      <c r="H99" s="327"/>
      <c r="I99" s="327"/>
      <c r="J99" s="327"/>
    </row>
    <row r="100" spans="1:10" x14ac:dyDescent="0.25">
      <c r="A100" s="327"/>
      <c r="B100" s="327"/>
      <c r="C100" s="327"/>
      <c r="D100" s="327"/>
      <c r="E100" s="327"/>
      <c r="F100" s="327"/>
      <c r="G100" s="327"/>
      <c r="H100" s="327"/>
      <c r="I100" s="327"/>
      <c r="J100" s="327"/>
    </row>
    <row r="101" spans="1:10" x14ac:dyDescent="0.25">
      <c r="A101" s="327" t="s">
        <v>1102</v>
      </c>
      <c r="B101" s="327"/>
      <c r="C101" s="327"/>
      <c r="D101" s="327"/>
      <c r="E101" s="327"/>
      <c r="F101" s="327"/>
      <c r="G101" s="327"/>
      <c r="H101" s="327"/>
      <c r="I101" s="327"/>
      <c r="J101" s="327"/>
    </row>
    <row r="102" spans="1:10" x14ac:dyDescent="0.25">
      <c r="A102" s="327"/>
      <c r="B102" s="327"/>
      <c r="C102" s="327"/>
      <c r="D102" s="327"/>
      <c r="E102" s="327"/>
      <c r="F102" s="327"/>
      <c r="G102" s="327"/>
      <c r="H102" s="327"/>
      <c r="I102" s="327"/>
      <c r="J102" s="327"/>
    </row>
    <row r="103" spans="1:10" ht="15" customHeight="1" x14ac:dyDescent="0.25">
      <c r="A103" s="327" t="s">
        <v>1115</v>
      </c>
      <c r="B103" s="327"/>
      <c r="C103" s="327"/>
      <c r="D103" s="327"/>
      <c r="E103" s="327"/>
      <c r="F103" s="327"/>
      <c r="G103" s="327"/>
      <c r="H103" s="327"/>
      <c r="I103" s="327"/>
      <c r="J103" s="327"/>
    </row>
    <row r="104" spans="1:10" x14ac:dyDescent="0.25">
      <c r="A104" s="327"/>
      <c r="B104" s="327"/>
      <c r="C104" s="327"/>
      <c r="D104" s="327"/>
      <c r="E104" s="327"/>
      <c r="F104" s="327"/>
      <c r="G104" s="327"/>
      <c r="H104" s="327"/>
      <c r="I104" s="327"/>
      <c r="J104" s="327"/>
    </row>
    <row r="105" spans="1:10" x14ac:dyDescent="0.25">
      <c r="A105" s="327" t="s">
        <v>1103</v>
      </c>
      <c r="B105" s="327"/>
      <c r="C105" s="327"/>
      <c r="D105" s="327"/>
      <c r="E105" s="327"/>
      <c r="F105" s="327"/>
      <c r="G105" s="327"/>
      <c r="H105" s="327"/>
      <c r="I105" s="327"/>
      <c r="J105" s="327"/>
    </row>
    <row r="106" spans="1:10" x14ac:dyDescent="0.25">
      <c r="A106" s="327"/>
      <c r="B106" s="327"/>
      <c r="C106" s="327"/>
      <c r="D106" s="327"/>
      <c r="E106" s="327"/>
      <c r="F106" s="327"/>
      <c r="G106" s="327"/>
      <c r="H106" s="327"/>
      <c r="I106" s="327"/>
      <c r="J106" s="327"/>
    </row>
    <row r="107" spans="1:10" x14ac:dyDescent="0.25">
      <c r="A107" s="327" t="s">
        <v>1105</v>
      </c>
      <c r="B107" s="327"/>
      <c r="C107" s="327"/>
      <c r="D107" s="327"/>
      <c r="E107" s="327"/>
      <c r="F107" s="327"/>
      <c r="G107" s="327"/>
      <c r="H107" s="327"/>
      <c r="I107" s="327"/>
      <c r="J107" s="327"/>
    </row>
    <row r="108" spans="1:10" x14ac:dyDescent="0.25">
      <c r="A108" s="327"/>
      <c r="B108" s="327"/>
      <c r="C108" s="327"/>
      <c r="D108" s="327"/>
      <c r="E108" s="327"/>
      <c r="F108" s="327"/>
      <c r="G108" s="327"/>
      <c r="H108" s="327"/>
      <c r="I108" s="327"/>
      <c r="J108" s="327"/>
    </row>
    <row r="109" spans="1:10" x14ac:dyDescent="0.25">
      <c r="A109" s="327"/>
      <c r="B109" s="327"/>
      <c r="C109" s="327"/>
      <c r="D109" s="327"/>
      <c r="E109" s="327"/>
      <c r="F109" s="327"/>
      <c r="G109" s="327"/>
      <c r="H109" s="327"/>
      <c r="I109" s="327"/>
      <c r="J109" s="327"/>
    </row>
    <row r="110" spans="1:10" x14ac:dyDescent="0.25">
      <c r="A110" s="285" t="s">
        <v>1107</v>
      </c>
    </row>
    <row r="111" spans="1:10" x14ac:dyDescent="0.25">
      <c r="A111" s="327" t="s">
        <v>1114</v>
      </c>
      <c r="B111" s="327"/>
      <c r="C111" s="327"/>
      <c r="D111" s="327"/>
      <c r="E111" s="327"/>
      <c r="F111" s="327"/>
      <c r="G111" s="327"/>
      <c r="H111" s="327"/>
      <c r="I111" s="327"/>
      <c r="J111" s="327"/>
    </row>
    <row r="112" spans="1:10" x14ac:dyDescent="0.25">
      <c r="A112" s="327"/>
      <c r="B112" s="327"/>
      <c r="C112" s="327"/>
      <c r="D112" s="327"/>
      <c r="E112" s="327"/>
      <c r="F112" s="327"/>
      <c r="G112" s="327"/>
      <c r="H112" s="327"/>
      <c r="I112" s="327"/>
      <c r="J112" s="327"/>
    </row>
    <row r="113" spans="1:10" x14ac:dyDescent="0.25">
      <c r="A113" s="327" t="s">
        <v>1116</v>
      </c>
      <c r="B113" s="327"/>
      <c r="C113" s="327"/>
      <c r="D113" s="327"/>
      <c r="E113" s="327"/>
      <c r="F113" s="327"/>
      <c r="G113" s="327"/>
      <c r="H113" s="327"/>
      <c r="I113" s="327"/>
      <c r="J113" s="327"/>
    </row>
    <row r="114" spans="1:10" x14ac:dyDescent="0.25">
      <c r="A114" s="327"/>
      <c r="B114" s="327"/>
      <c r="C114" s="327"/>
      <c r="D114" s="327"/>
      <c r="E114" s="327"/>
      <c r="F114" s="327"/>
      <c r="G114" s="327"/>
      <c r="H114" s="327"/>
      <c r="I114" s="327"/>
      <c r="J114" s="327"/>
    </row>
    <row r="115" spans="1:10" x14ac:dyDescent="0.25">
      <c r="A115" s="327" t="s">
        <v>1141</v>
      </c>
      <c r="B115" s="327"/>
      <c r="C115" s="327"/>
      <c r="D115" s="327"/>
      <c r="E115" s="327"/>
      <c r="F115" s="327"/>
      <c r="G115" s="327"/>
      <c r="H115" s="327"/>
      <c r="I115" s="327"/>
      <c r="J115" s="327"/>
    </row>
    <row r="116" spans="1:10" x14ac:dyDescent="0.25">
      <c r="A116" s="327"/>
      <c r="B116" s="327"/>
      <c r="C116" s="327"/>
      <c r="D116" s="327"/>
      <c r="E116" s="327"/>
      <c r="F116" s="327"/>
      <c r="G116" s="327"/>
      <c r="H116" s="327"/>
      <c r="I116" s="327"/>
      <c r="J116" s="327"/>
    </row>
    <row r="117" spans="1:10" x14ac:dyDescent="0.25">
      <c r="A117" s="285" t="s">
        <v>1135</v>
      </c>
    </row>
    <row r="118" spans="1:10" x14ac:dyDescent="0.25">
      <c r="A118" s="327" t="s">
        <v>1136</v>
      </c>
      <c r="B118" s="327"/>
      <c r="C118" s="327"/>
      <c r="D118" s="327"/>
      <c r="E118" s="327"/>
      <c r="F118" s="327"/>
      <c r="G118" s="327"/>
      <c r="H118" s="327"/>
      <c r="I118" s="327"/>
      <c r="J118" s="327"/>
    </row>
    <row r="119" spans="1:10" x14ac:dyDescent="0.25">
      <c r="A119" s="327"/>
      <c r="B119" s="327"/>
      <c r="C119" s="327"/>
      <c r="D119" s="327"/>
      <c r="E119" s="327"/>
      <c r="F119" s="327"/>
      <c r="G119" s="327"/>
      <c r="H119" s="327"/>
      <c r="I119" s="327"/>
      <c r="J119" s="327"/>
    </row>
    <row r="120" spans="1:10" ht="47.25" customHeight="1" x14ac:dyDescent="0.25">
      <c r="A120" s="327" t="s">
        <v>1245</v>
      </c>
      <c r="B120" s="327"/>
      <c r="C120" s="327"/>
      <c r="D120" s="327"/>
      <c r="E120" s="327"/>
      <c r="F120" s="327"/>
      <c r="G120" s="327"/>
      <c r="H120" s="327"/>
      <c r="I120" s="327"/>
      <c r="J120" s="327"/>
    </row>
    <row r="121" spans="1:10" x14ac:dyDescent="0.25">
      <c r="A121" s="327" t="s">
        <v>1138</v>
      </c>
      <c r="B121" s="327"/>
      <c r="C121" s="327"/>
      <c r="D121" s="327"/>
      <c r="E121" s="327"/>
      <c r="F121" s="327"/>
      <c r="G121" s="327"/>
      <c r="H121" s="327"/>
      <c r="I121" s="327"/>
      <c r="J121" s="327"/>
    </row>
    <row r="122" spans="1:10" x14ac:dyDescent="0.25">
      <c r="A122" s="327"/>
      <c r="B122" s="327"/>
      <c r="C122" s="327"/>
      <c r="D122" s="327"/>
      <c r="E122" s="327"/>
      <c r="F122" s="327"/>
      <c r="G122" s="327"/>
      <c r="H122" s="327"/>
      <c r="I122" s="327"/>
      <c r="J122" s="327"/>
    </row>
    <row r="123" spans="1:10" x14ac:dyDescent="0.25">
      <c r="A123" s="285" t="s">
        <v>1140</v>
      </c>
    </row>
    <row r="124" spans="1:10" x14ac:dyDescent="0.25">
      <c r="A124" s="285" t="s">
        <v>1142</v>
      </c>
    </row>
    <row r="125" spans="1:10" x14ac:dyDescent="0.25">
      <c r="A125" s="285" t="s">
        <v>1143</v>
      </c>
    </row>
    <row r="126" spans="1:10" ht="30" customHeight="1" x14ac:dyDescent="0.25">
      <c r="A126" s="327" t="s">
        <v>1166</v>
      </c>
      <c r="B126" s="327"/>
      <c r="C126" s="327"/>
      <c r="D126" s="327"/>
      <c r="E126" s="327"/>
      <c r="F126" s="327"/>
      <c r="G126" s="327"/>
      <c r="H126" s="327"/>
      <c r="I126" s="327"/>
      <c r="J126" s="327"/>
    </row>
    <row r="127" spans="1:10" ht="0.75" customHeight="1" x14ac:dyDescent="0.25">
      <c r="A127" s="327"/>
      <c r="B127" s="327"/>
      <c r="C127" s="327"/>
      <c r="D127" s="327"/>
      <c r="E127" s="327"/>
      <c r="F127" s="327"/>
      <c r="G127" s="327"/>
      <c r="H127" s="327"/>
      <c r="I127" s="327"/>
      <c r="J127" s="327"/>
    </row>
    <row r="128" spans="1:10" ht="30" customHeight="1" x14ac:dyDescent="0.25">
      <c r="A128" s="329" t="s">
        <v>1159</v>
      </c>
      <c r="B128" s="329"/>
      <c r="C128" s="329"/>
      <c r="D128" s="329"/>
      <c r="E128" s="329"/>
      <c r="F128" s="329"/>
      <c r="G128" s="329"/>
      <c r="H128" s="329"/>
      <c r="I128" s="329"/>
      <c r="J128" s="329"/>
    </row>
    <row r="129" spans="1:18" ht="30" customHeight="1" x14ac:dyDescent="0.25">
      <c r="A129" s="329" t="s">
        <v>1160</v>
      </c>
      <c r="B129" s="329"/>
      <c r="C129" s="329"/>
      <c r="D129" s="329"/>
      <c r="E129" s="329"/>
      <c r="F129" s="329"/>
      <c r="G129" s="329"/>
      <c r="H129" s="329"/>
      <c r="I129" s="329"/>
      <c r="J129" s="329"/>
    </row>
    <row r="130" spans="1:18" x14ac:dyDescent="0.25">
      <c r="A130" s="328" t="s">
        <v>1161</v>
      </c>
      <c r="B130" s="328"/>
      <c r="C130" s="328"/>
      <c r="D130" s="328"/>
      <c r="E130" s="328"/>
      <c r="F130" s="328"/>
      <c r="G130" s="328"/>
      <c r="H130" s="328"/>
      <c r="I130" s="328"/>
      <c r="J130" s="328"/>
    </row>
    <row r="131" spans="1:18" ht="32.25" customHeight="1" x14ac:dyDescent="0.25">
      <c r="A131" s="327" t="s">
        <v>1165</v>
      </c>
      <c r="B131" s="327"/>
      <c r="C131" s="327"/>
      <c r="D131" s="327"/>
      <c r="E131" s="327"/>
      <c r="F131" s="327"/>
      <c r="G131" s="327"/>
      <c r="H131" s="327"/>
      <c r="I131" s="327"/>
      <c r="J131" s="327"/>
    </row>
    <row r="132" spans="1:18" ht="31.5" customHeight="1" x14ac:dyDescent="0.25">
      <c r="A132" s="327" t="s">
        <v>1167</v>
      </c>
      <c r="B132" s="327"/>
      <c r="C132" s="327"/>
      <c r="D132" s="327"/>
      <c r="E132" s="327"/>
      <c r="F132" s="327"/>
      <c r="G132" s="327"/>
      <c r="H132" s="327"/>
      <c r="I132" s="327"/>
      <c r="J132" s="327"/>
    </row>
    <row r="133" spans="1:18" ht="31.5" customHeight="1" x14ac:dyDescent="0.25">
      <c r="A133" s="327" t="s">
        <v>1172</v>
      </c>
      <c r="B133" s="327"/>
      <c r="C133" s="327"/>
      <c r="D133" s="327"/>
      <c r="E133" s="327"/>
      <c r="F133" s="327"/>
      <c r="G133" s="327"/>
      <c r="H133" s="327"/>
      <c r="I133" s="327"/>
      <c r="J133" s="327"/>
    </row>
    <row r="134" spans="1:18" ht="31.5" customHeight="1" x14ac:dyDescent="0.25">
      <c r="A134" s="327" t="s">
        <v>1173</v>
      </c>
      <c r="B134" s="327"/>
      <c r="C134" s="327"/>
      <c r="D134" s="327"/>
      <c r="E134" s="327"/>
      <c r="F134" s="327"/>
      <c r="G134" s="327"/>
      <c r="H134" s="327"/>
      <c r="I134" s="327"/>
      <c r="J134" s="327"/>
    </row>
    <row r="135" spans="1:18" x14ac:dyDescent="0.25">
      <c r="A135" s="328" t="s">
        <v>1191</v>
      </c>
      <c r="B135" s="328"/>
      <c r="C135" s="328"/>
      <c r="D135" s="328"/>
      <c r="E135" s="328"/>
      <c r="F135" s="328"/>
      <c r="G135" s="328"/>
      <c r="H135" s="328"/>
      <c r="I135" s="328"/>
      <c r="J135" s="328"/>
    </row>
    <row r="136" spans="1:18" ht="30" customHeight="1" x14ac:dyDescent="0.25">
      <c r="A136" s="327" t="s">
        <v>1192</v>
      </c>
      <c r="B136" s="327"/>
      <c r="C136" s="327"/>
      <c r="D136" s="327"/>
      <c r="E136" s="327"/>
      <c r="F136" s="327"/>
      <c r="G136" s="327"/>
      <c r="H136" s="327"/>
      <c r="I136" s="327"/>
      <c r="J136" s="327"/>
    </row>
    <row r="137" spans="1:18" ht="30" customHeight="1" x14ac:dyDescent="0.25">
      <c r="A137" s="327" t="s">
        <v>1193</v>
      </c>
      <c r="B137" s="327"/>
      <c r="C137" s="327"/>
      <c r="D137" s="327"/>
      <c r="E137" s="327"/>
      <c r="F137" s="327"/>
      <c r="G137" s="327"/>
      <c r="H137" s="327"/>
      <c r="I137" s="327"/>
      <c r="J137" s="327"/>
    </row>
    <row r="138" spans="1:18" ht="30" customHeight="1" x14ac:dyDescent="0.25">
      <c r="A138" s="327" t="s">
        <v>1233</v>
      </c>
      <c r="B138" s="327"/>
      <c r="C138" s="327"/>
      <c r="D138" s="327"/>
      <c r="E138" s="327"/>
      <c r="F138" s="327"/>
      <c r="G138" s="327"/>
      <c r="H138" s="327"/>
      <c r="I138" s="327"/>
      <c r="J138" s="327"/>
    </row>
    <row r="139" spans="1:18" ht="30" customHeight="1" x14ac:dyDescent="0.25">
      <c r="A139" s="327" t="s">
        <v>1243</v>
      </c>
      <c r="B139" s="327"/>
      <c r="C139" s="327"/>
      <c r="D139" s="327"/>
      <c r="E139" s="327"/>
      <c r="F139" s="327"/>
      <c r="G139" s="327"/>
      <c r="H139" s="327"/>
      <c r="I139" s="327"/>
      <c r="J139" s="327"/>
    </row>
    <row r="140" spans="1:18" ht="33" customHeight="1" x14ac:dyDescent="0.25">
      <c r="A140" s="327" t="s">
        <v>1337</v>
      </c>
      <c r="B140" s="327"/>
      <c r="C140" s="327"/>
      <c r="D140" s="327"/>
      <c r="E140" s="327"/>
      <c r="F140" s="327"/>
      <c r="G140" s="327"/>
      <c r="H140" s="327"/>
      <c r="I140" s="327"/>
      <c r="J140" s="327"/>
      <c r="K140" s="327"/>
      <c r="L140" s="327"/>
      <c r="M140" s="327"/>
      <c r="N140" s="327"/>
      <c r="O140" s="327"/>
      <c r="P140" s="327"/>
      <c r="Q140" s="327"/>
      <c r="R140" s="327"/>
    </row>
    <row r="141" spans="1:18" ht="30" customHeight="1" x14ac:dyDescent="0.25">
      <c r="A141" s="327" t="s">
        <v>1278</v>
      </c>
      <c r="B141" s="327"/>
      <c r="C141" s="327"/>
      <c r="D141" s="327"/>
      <c r="E141" s="327"/>
      <c r="F141" s="327"/>
      <c r="G141" s="327"/>
      <c r="H141" s="327"/>
      <c r="I141" s="327"/>
      <c r="J141" s="327"/>
      <c r="K141" s="327"/>
      <c r="L141" s="327"/>
      <c r="M141" s="327"/>
      <c r="N141" s="327"/>
      <c r="O141" s="327"/>
      <c r="P141" s="327"/>
      <c r="Q141" s="327"/>
      <c r="R141" s="327"/>
    </row>
    <row r="142" spans="1:18" ht="30" customHeight="1" x14ac:dyDescent="0.25">
      <c r="A142" s="327" t="s">
        <v>1279</v>
      </c>
      <c r="B142" s="327"/>
      <c r="C142" s="327"/>
      <c r="D142" s="327"/>
      <c r="E142" s="327"/>
      <c r="F142" s="327"/>
      <c r="G142" s="327"/>
      <c r="H142" s="327"/>
      <c r="I142" s="327"/>
      <c r="J142" s="327"/>
      <c r="K142" s="327"/>
      <c r="L142" s="327"/>
      <c r="M142" s="327"/>
      <c r="N142" s="327"/>
      <c r="O142" s="327"/>
      <c r="P142" s="327"/>
      <c r="Q142" s="327"/>
      <c r="R142" s="327"/>
    </row>
    <row r="143" spans="1:18" ht="30" customHeight="1" x14ac:dyDescent="0.25">
      <c r="A143" s="327" t="s">
        <v>1280</v>
      </c>
      <c r="B143" s="327"/>
      <c r="C143" s="327"/>
      <c r="D143" s="327"/>
      <c r="E143" s="327"/>
      <c r="F143" s="327"/>
      <c r="G143" s="327"/>
      <c r="H143" s="327"/>
      <c r="I143" s="327"/>
      <c r="J143" s="327"/>
      <c r="K143" s="327"/>
      <c r="L143" s="327"/>
      <c r="M143" s="327"/>
      <c r="N143" s="327"/>
      <c r="O143" s="327"/>
      <c r="P143" s="327"/>
      <c r="Q143" s="327"/>
      <c r="R143" s="327"/>
    </row>
    <row r="144" spans="1:18" ht="30" customHeight="1" x14ac:dyDescent="0.25">
      <c r="A144" s="327" t="s">
        <v>1296</v>
      </c>
      <c r="B144" s="327"/>
      <c r="C144" s="327"/>
      <c r="D144" s="327"/>
      <c r="E144" s="327"/>
      <c r="F144" s="327"/>
      <c r="G144" s="327"/>
      <c r="H144" s="327"/>
      <c r="I144" s="327"/>
      <c r="J144" s="327"/>
      <c r="K144" s="327"/>
      <c r="L144" s="327"/>
      <c r="M144" s="327"/>
      <c r="N144" s="327"/>
      <c r="O144" s="327"/>
      <c r="P144" s="327"/>
      <c r="Q144" s="327"/>
      <c r="R144" s="327"/>
    </row>
    <row r="145" spans="1:18" ht="30" customHeight="1" x14ac:dyDescent="0.25">
      <c r="A145" s="327" t="s">
        <v>1284</v>
      </c>
      <c r="B145" s="327"/>
      <c r="C145" s="327"/>
      <c r="D145" s="327"/>
      <c r="E145" s="327"/>
      <c r="F145" s="327"/>
      <c r="G145" s="327"/>
      <c r="H145" s="327"/>
      <c r="I145" s="327"/>
      <c r="J145" s="327"/>
      <c r="K145" s="327"/>
      <c r="L145" s="327"/>
      <c r="M145" s="327"/>
      <c r="N145" s="327"/>
      <c r="O145" s="327"/>
      <c r="P145" s="327"/>
      <c r="Q145" s="327"/>
      <c r="R145" s="327"/>
    </row>
    <row r="146" spans="1:18" ht="30" customHeight="1" x14ac:dyDescent="0.25">
      <c r="A146" s="327" t="s">
        <v>1285</v>
      </c>
      <c r="B146" s="327"/>
      <c r="C146" s="327"/>
      <c r="D146" s="327"/>
      <c r="E146" s="327"/>
      <c r="F146" s="327"/>
      <c r="G146" s="327"/>
      <c r="H146" s="327"/>
      <c r="I146" s="327"/>
      <c r="J146" s="327"/>
      <c r="K146" s="327"/>
      <c r="L146" s="327"/>
      <c r="M146" s="327"/>
      <c r="N146" s="327"/>
      <c r="O146" s="327"/>
      <c r="P146" s="327"/>
      <c r="Q146" s="327"/>
      <c r="R146" s="327"/>
    </row>
    <row r="147" spans="1:18" ht="30" customHeight="1" x14ac:dyDescent="0.25">
      <c r="A147" s="327" t="s">
        <v>1297</v>
      </c>
      <c r="B147" s="327"/>
      <c r="C147" s="327"/>
      <c r="D147" s="327"/>
      <c r="E147" s="327"/>
      <c r="F147" s="327"/>
      <c r="G147" s="327"/>
      <c r="H147" s="327"/>
      <c r="I147" s="327"/>
      <c r="J147" s="327"/>
      <c r="K147" s="327"/>
      <c r="L147" s="327"/>
      <c r="M147" s="327"/>
      <c r="N147" s="327"/>
      <c r="O147" s="327"/>
      <c r="P147" s="327"/>
      <c r="Q147" s="327"/>
      <c r="R147" s="327"/>
    </row>
    <row r="148" spans="1:18" ht="30" customHeight="1" x14ac:dyDescent="0.25">
      <c r="A148" s="327" t="s">
        <v>1298</v>
      </c>
      <c r="B148" s="327"/>
      <c r="C148" s="327"/>
      <c r="D148" s="327"/>
      <c r="E148" s="327"/>
      <c r="F148" s="327"/>
      <c r="G148" s="327"/>
      <c r="H148" s="327"/>
      <c r="I148" s="327"/>
      <c r="J148" s="327"/>
      <c r="K148" s="327"/>
      <c r="L148" s="327"/>
      <c r="M148" s="327"/>
      <c r="N148" s="327"/>
      <c r="O148" s="327"/>
      <c r="P148" s="327"/>
      <c r="Q148" s="327"/>
      <c r="R148" s="327"/>
    </row>
    <row r="149" spans="1:18" ht="30" customHeight="1" x14ac:dyDescent="0.25">
      <c r="A149" s="327" t="s">
        <v>1299</v>
      </c>
      <c r="B149" s="327"/>
      <c r="C149" s="327"/>
      <c r="D149" s="327"/>
      <c r="E149" s="327"/>
      <c r="F149" s="327"/>
      <c r="G149" s="327"/>
      <c r="H149" s="327"/>
      <c r="I149" s="327"/>
      <c r="J149" s="327"/>
      <c r="K149" s="327"/>
      <c r="L149" s="327"/>
      <c r="M149" s="327"/>
      <c r="N149" s="327"/>
      <c r="O149" s="327"/>
      <c r="P149" s="327"/>
      <c r="Q149" s="327"/>
      <c r="R149" s="327"/>
    </row>
    <row r="150" spans="1:18" ht="30" customHeight="1" x14ac:dyDescent="0.25">
      <c r="A150" s="327" t="s">
        <v>1300</v>
      </c>
      <c r="B150" s="327"/>
      <c r="C150" s="327"/>
      <c r="D150" s="327"/>
      <c r="E150" s="327"/>
      <c r="F150" s="327"/>
      <c r="G150" s="327"/>
      <c r="H150" s="327"/>
      <c r="I150" s="327"/>
      <c r="J150" s="327"/>
      <c r="K150" s="327"/>
      <c r="L150" s="327"/>
      <c r="M150" s="327"/>
      <c r="N150" s="327"/>
      <c r="O150" s="327"/>
      <c r="P150" s="327"/>
      <c r="Q150" s="327"/>
      <c r="R150" s="327"/>
    </row>
    <row r="151" spans="1:18" ht="30" customHeight="1" x14ac:dyDescent="0.25">
      <c r="A151" s="327" t="s">
        <v>1301</v>
      </c>
      <c r="B151" s="327"/>
      <c r="C151" s="327"/>
      <c r="D151" s="327"/>
      <c r="E151" s="327"/>
      <c r="F151" s="327"/>
      <c r="G151" s="327"/>
      <c r="H151" s="327"/>
      <c r="I151" s="327"/>
      <c r="J151" s="327"/>
      <c r="K151" s="327"/>
      <c r="L151" s="327"/>
      <c r="M151" s="327"/>
      <c r="N151" s="327"/>
      <c r="O151" s="327"/>
      <c r="P151" s="327"/>
      <c r="Q151" s="327"/>
      <c r="R151" s="327"/>
    </row>
    <row r="152" spans="1:18" ht="30" customHeight="1" x14ac:dyDescent="0.25">
      <c r="A152" s="327" t="s">
        <v>1336</v>
      </c>
      <c r="B152" s="327"/>
      <c r="C152" s="327"/>
      <c r="D152" s="327"/>
      <c r="E152" s="327"/>
      <c r="F152" s="327"/>
      <c r="G152" s="327"/>
      <c r="H152" s="327"/>
      <c r="I152" s="327"/>
      <c r="J152" s="327"/>
      <c r="K152" s="327"/>
      <c r="L152" s="327"/>
      <c r="M152" s="327"/>
      <c r="N152" s="327"/>
      <c r="O152" s="327"/>
      <c r="P152" s="327"/>
      <c r="Q152" s="327"/>
      <c r="R152" s="327"/>
    </row>
    <row r="153" spans="1:18" ht="18.75" customHeight="1" x14ac:dyDescent="0.25">
      <c r="A153" s="327" t="s">
        <v>1338</v>
      </c>
      <c r="B153" s="327"/>
      <c r="C153" s="327"/>
      <c r="D153" s="327"/>
      <c r="E153" s="327"/>
      <c r="F153" s="327"/>
      <c r="G153" s="327"/>
      <c r="H153" s="327"/>
      <c r="I153" s="327"/>
      <c r="J153" s="327"/>
    </row>
    <row r="154" spans="1:18" ht="30" customHeight="1" x14ac:dyDescent="0.25">
      <c r="A154" s="332" t="s">
        <v>1347</v>
      </c>
      <c r="B154" s="332"/>
      <c r="C154" s="332"/>
      <c r="D154" s="332"/>
      <c r="E154" s="332"/>
      <c r="F154" s="332"/>
      <c r="G154" s="332"/>
      <c r="H154" s="332"/>
      <c r="I154" s="332"/>
      <c r="J154" s="332"/>
    </row>
    <row r="155" spans="1:18" ht="30" customHeight="1" x14ac:dyDescent="0.25">
      <c r="A155" s="332" t="s">
        <v>1372</v>
      </c>
      <c r="B155" s="332"/>
      <c r="C155" s="332"/>
      <c r="D155" s="332"/>
      <c r="E155" s="332"/>
      <c r="F155" s="332"/>
      <c r="G155" s="332"/>
      <c r="H155" s="332"/>
      <c r="I155" s="332"/>
      <c r="J155" s="332"/>
    </row>
    <row r="156" spans="1:18" ht="30" customHeight="1" x14ac:dyDescent="0.25">
      <c r="A156" s="332" t="s">
        <v>1373</v>
      </c>
      <c r="B156" s="332"/>
      <c r="C156" s="332"/>
      <c r="D156" s="332"/>
      <c r="E156" s="332"/>
      <c r="F156" s="332"/>
      <c r="G156" s="332"/>
      <c r="H156" s="332"/>
      <c r="I156" s="332"/>
      <c r="J156" s="332"/>
    </row>
    <row r="157" spans="1:18" ht="30" customHeight="1" x14ac:dyDescent="0.25">
      <c r="A157" s="332" t="s">
        <v>1393</v>
      </c>
      <c r="B157" s="332"/>
      <c r="C157" s="332"/>
      <c r="D157" s="332"/>
      <c r="E157" s="332"/>
      <c r="F157" s="332"/>
      <c r="G157" s="332"/>
      <c r="H157" s="332"/>
      <c r="I157" s="332"/>
      <c r="J157" s="332"/>
    </row>
    <row r="158" spans="1:18" s="282" customFormat="1" ht="30" customHeight="1" x14ac:dyDescent="0.25">
      <c r="A158" s="332" t="s">
        <v>1397</v>
      </c>
      <c r="B158" s="332"/>
      <c r="C158" s="332"/>
      <c r="D158" s="332"/>
      <c r="E158" s="332"/>
      <c r="F158" s="332"/>
      <c r="G158" s="332"/>
      <c r="H158" s="332"/>
      <c r="I158" s="332"/>
      <c r="J158" s="332"/>
    </row>
  </sheetData>
  <protectedRanges>
    <protectedRange sqref="A77:A78 I76 C77:I78" name="Range1_3_1"/>
    <protectedRange sqref="B77:B78" name="Range1_4_2_1"/>
  </protectedRanges>
  <mergeCells count="116">
    <mergeCell ref="A158:J158"/>
    <mergeCell ref="A157:J157"/>
    <mergeCell ref="A155:J155"/>
    <mergeCell ref="A156:J156"/>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95:J96"/>
    <mergeCell ref="A97:J98"/>
    <mergeCell ref="A99:J100"/>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31:I31"/>
    <mergeCell ref="A32:I32"/>
    <mergeCell ref="A154:J154"/>
    <mergeCell ref="A153:J153"/>
    <mergeCell ref="A72:I73"/>
    <mergeCell ref="A71:I71"/>
    <mergeCell ref="A148:J148"/>
    <mergeCell ref="A149:J149"/>
    <mergeCell ref="A145:J145"/>
    <mergeCell ref="A6:I6"/>
    <mergeCell ref="A21:I23"/>
    <mergeCell ref="A24:I24"/>
    <mergeCell ref="A53:I53"/>
    <mergeCell ref="A36:J36"/>
    <mergeCell ref="A61:I61"/>
    <mergeCell ref="A62:I62"/>
    <mergeCell ref="A43:I44"/>
    <mergeCell ref="A48:I49"/>
    <mergeCell ref="A47:I47"/>
    <mergeCell ref="A33:I33"/>
    <mergeCell ref="A29:I30"/>
    <mergeCell ref="A38:I39"/>
    <mergeCell ref="A34:I34"/>
    <mergeCell ref="A35:I35"/>
    <mergeCell ref="A40:I40"/>
    <mergeCell ref="A147:J147"/>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 ref="A118:J119"/>
  </mergeCells>
  <pageMargins left="0.7" right="0.7" top="0.75" bottom="0.75" header="0.3" footer="0.3"/>
  <pageSetup paperSize="5" scale="61"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1"/>
  <sheetViews>
    <sheetView view="pageBreakPreview" zoomScale="90" zoomScaleNormal="100" zoomScaleSheetLayoutView="90" zoomScalePageLayoutView="85" workbookViewId="0">
      <selection activeCell="D22" sqref="D22"/>
    </sheetView>
  </sheetViews>
  <sheetFormatPr defaultRowHeight="15" x14ac:dyDescent="0.25"/>
  <cols>
    <col min="1" max="2" width="9.140625" style="65"/>
    <col min="3" max="3" width="14" style="111" customWidth="1"/>
    <col min="4" max="4" width="65" style="65" customWidth="1"/>
    <col min="5" max="5" width="23.85546875" style="107" bestFit="1" customWidth="1"/>
    <col min="6" max="6" width="27.5703125" style="108" customWidth="1"/>
    <col min="7" max="7" width="27.5703125" style="109" customWidth="1"/>
    <col min="8" max="8" width="24.140625" style="199" customWidth="1"/>
    <col min="9" max="9" width="22.28515625" style="110" bestFit="1" customWidth="1"/>
    <col min="10" max="10" width="13" style="65" bestFit="1" customWidth="1"/>
    <col min="11" max="16384" width="9.140625" style="65"/>
  </cols>
  <sheetData>
    <row r="1" spans="3:9" x14ac:dyDescent="0.25">
      <c r="C1" s="345" t="s">
        <v>902</v>
      </c>
      <c r="D1" s="345"/>
      <c r="E1" s="345"/>
      <c r="F1" s="345"/>
      <c r="G1" s="345"/>
      <c r="H1" s="345"/>
      <c r="I1" s="345"/>
    </row>
    <row r="2" spans="3:9" x14ac:dyDescent="0.25">
      <c r="C2" s="346" t="s">
        <v>1400</v>
      </c>
      <c r="D2" s="346"/>
      <c r="E2" s="346"/>
      <c r="F2" s="346"/>
      <c r="G2" s="346"/>
      <c r="H2" s="346"/>
      <c r="I2" s="346"/>
    </row>
    <row r="3" spans="3:9" x14ac:dyDescent="0.25">
      <c r="C3" s="287"/>
      <c r="D3" s="287"/>
      <c r="E3" s="287"/>
      <c r="F3" s="66"/>
      <c r="G3" s="67"/>
      <c r="H3" s="197"/>
      <c r="I3" s="287"/>
    </row>
    <row r="4" spans="3:9" x14ac:dyDescent="0.25">
      <c r="C4" s="68"/>
      <c r="D4" s="287"/>
      <c r="E4" s="287"/>
      <c r="F4" s="66"/>
      <c r="G4" s="67"/>
      <c r="H4" s="197"/>
      <c r="I4" s="287"/>
    </row>
    <row r="5" spans="3:9" ht="17.25" x14ac:dyDescent="0.25">
      <c r="C5" s="69" t="s">
        <v>1109</v>
      </c>
      <c r="D5" s="70"/>
      <c r="E5" s="71">
        <v>204943827320</v>
      </c>
      <c r="F5" s="72"/>
      <c r="G5" s="73" t="s">
        <v>1401</v>
      </c>
      <c r="H5" s="292"/>
      <c r="I5" s="265">
        <f>SUM(Dividends!J114:J835)</f>
        <v>11831162032.206667</v>
      </c>
    </row>
    <row r="6" spans="3:9" ht="17.25" x14ac:dyDescent="0.25">
      <c r="C6" s="293" t="s">
        <v>1399</v>
      </c>
      <c r="D6" s="70"/>
      <c r="E6" s="112">
        <v>7460609239.9899998</v>
      </c>
      <c r="F6" s="72"/>
      <c r="G6" s="73" t="s">
        <v>899</v>
      </c>
      <c r="H6" s="294"/>
      <c r="I6" s="265">
        <f>SUM(I7:I9)</f>
        <v>392099188.11000001</v>
      </c>
    </row>
    <row r="7" spans="3:9" x14ac:dyDescent="0.25">
      <c r="C7" s="69"/>
      <c r="D7" s="70"/>
      <c r="E7" s="71"/>
      <c r="F7" s="72"/>
      <c r="G7" s="347" t="s">
        <v>1012</v>
      </c>
      <c r="H7" s="347"/>
      <c r="I7" s="266">
        <f>SUM(H13:H194)</f>
        <v>352726837.12</v>
      </c>
    </row>
    <row r="8" spans="3:9" s="185" customFormat="1" x14ac:dyDescent="0.25">
      <c r="C8" s="76"/>
      <c r="D8" s="77"/>
      <c r="E8" s="78"/>
      <c r="F8" s="72"/>
      <c r="G8" s="347" t="s">
        <v>1011</v>
      </c>
      <c r="H8" s="347"/>
      <c r="I8" s="266">
        <f>SUM(H196:H241)</f>
        <v>21929632.740000002</v>
      </c>
    </row>
    <row r="9" spans="3:9" s="185" customFormat="1" x14ac:dyDescent="0.25">
      <c r="C9" s="76"/>
      <c r="D9" s="77"/>
      <c r="E9" s="79"/>
      <c r="F9" s="72"/>
      <c r="G9" s="347" t="s">
        <v>904</v>
      </c>
      <c r="H9" s="347"/>
      <c r="I9" s="266">
        <f>SUM(H243:H259)</f>
        <v>17442718.25</v>
      </c>
    </row>
    <row r="10" spans="3:9" s="185" customFormat="1" x14ac:dyDescent="0.25">
      <c r="C10" s="80"/>
      <c r="D10" s="77"/>
      <c r="E10" s="79"/>
      <c r="F10" s="72"/>
      <c r="G10" s="81"/>
      <c r="H10" s="82"/>
      <c r="I10" s="75"/>
    </row>
    <row r="11" spans="3:9" ht="33" thickBot="1" x14ac:dyDescent="0.3">
      <c r="C11" s="83" t="s">
        <v>754</v>
      </c>
      <c r="D11" s="84" t="s">
        <v>817</v>
      </c>
      <c r="E11" s="113" t="s">
        <v>1110</v>
      </c>
      <c r="F11" s="85" t="s">
        <v>924</v>
      </c>
      <c r="G11" s="86" t="s">
        <v>925</v>
      </c>
      <c r="H11" s="85" t="s">
        <v>926</v>
      </c>
      <c r="I11" s="83" t="s">
        <v>927</v>
      </c>
    </row>
    <row r="12" spans="3:9" ht="15" customHeight="1" x14ac:dyDescent="0.25">
      <c r="C12" s="175"/>
      <c r="D12" s="176" t="s">
        <v>819</v>
      </c>
      <c r="E12" s="177"/>
      <c r="F12" s="178"/>
      <c r="G12" s="179"/>
      <c r="H12" s="198"/>
      <c r="I12" s="175"/>
    </row>
    <row r="13" spans="3:9" ht="15" customHeight="1" x14ac:dyDescent="0.25">
      <c r="C13" s="92">
        <v>15</v>
      </c>
      <c r="D13" s="148" t="s">
        <v>928</v>
      </c>
      <c r="E13" s="218">
        <v>16369000</v>
      </c>
      <c r="F13" s="173">
        <f>1841512.5+204612.5</f>
        <v>2046125</v>
      </c>
      <c r="G13" s="159">
        <v>0</v>
      </c>
      <c r="H13" s="173">
        <f>1841512.5+204612.5</f>
        <v>2046125</v>
      </c>
      <c r="I13" s="92">
        <f>9+1</f>
        <v>10</v>
      </c>
    </row>
    <row r="14" spans="3:9" ht="15" customHeight="1" x14ac:dyDescent="0.25">
      <c r="C14" s="92"/>
      <c r="D14" s="219" t="s">
        <v>1117</v>
      </c>
      <c r="E14" s="218">
        <v>3500000</v>
      </c>
      <c r="F14" s="158">
        <f>262500+43750</f>
        <v>306250</v>
      </c>
      <c r="G14" s="159">
        <v>0</v>
      </c>
      <c r="H14" s="158">
        <f>262500+43750</f>
        <v>306250</v>
      </c>
      <c r="I14" s="92">
        <f>6+1</f>
        <v>7</v>
      </c>
    </row>
    <row r="15" spans="3:9" ht="15" customHeight="1" x14ac:dyDescent="0.25">
      <c r="C15" s="92"/>
      <c r="D15" s="219" t="s">
        <v>1237</v>
      </c>
      <c r="E15" s="218">
        <v>6514000</v>
      </c>
      <c r="F15" s="173">
        <f>266280+88760</f>
        <v>355040</v>
      </c>
      <c r="G15" s="159">
        <v>0</v>
      </c>
      <c r="H15" s="173">
        <f>266280+88760</f>
        <v>355040</v>
      </c>
      <c r="I15" s="92">
        <f>3+1</f>
        <v>4</v>
      </c>
    </row>
    <row r="16" spans="3:9" s="95" customFormat="1" x14ac:dyDescent="0.25">
      <c r="C16" s="96" t="s">
        <v>1291</v>
      </c>
      <c r="D16" s="97" t="s">
        <v>1362</v>
      </c>
      <c r="E16" s="260">
        <v>4781000</v>
      </c>
      <c r="F16" s="170">
        <v>119525</v>
      </c>
      <c r="G16" s="171">
        <v>119525</v>
      </c>
      <c r="H16" s="172">
        <v>0</v>
      </c>
      <c r="I16" s="196">
        <v>0</v>
      </c>
    </row>
    <row r="17" spans="1:10" ht="15" customHeight="1" x14ac:dyDescent="0.25">
      <c r="C17" s="48"/>
      <c r="D17" s="38" t="s">
        <v>1149</v>
      </c>
      <c r="E17" s="14">
        <v>3652000</v>
      </c>
      <c r="F17" s="173">
        <f>248837.5+49767.5</f>
        <v>298605</v>
      </c>
      <c r="G17" s="159">
        <v>0</v>
      </c>
      <c r="H17" s="173">
        <f>248837.5+49767.5</f>
        <v>298605</v>
      </c>
      <c r="I17" s="92">
        <f>5+1</f>
        <v>6</v>
      </c>
    </row>
    <row r="18" spans="1:10" s="95" customFormat="1" ht="15" customHeight="1" x14ac:dyDescent="0.25">
      <c r="C18" s="96" t="s">
        <v>1311</v>
      </c>
      <c r="D18" s="97" t="s">
        <v>1339</v>
      </c>
      <c r="E18" s="223">
        <v>70000000</v>
      </c>
      <c r="F18" s="170">
        <v>3815000</v>
      </c>
      <c r="G18" s="171">
        <v>3815000</v>
      </c>
      <c r="H18" s="172">
        <v>0</v>
      </c>
      <c r="I18" s="196">
        <v>0</v>
      </c>
    </row>
    <row r="19" spans="1:10" ht="15" customHeight="1" x14ac:dyDescent="0.25">
      <c r="C19" s="48">
        <v>28</v>
      </c>
      <c r="D19" s="37" t="s">
        <v>820</v>
      </c>
      <c r="E19" s="94">
        <v>110000000</v>
      </c>
      <c r="F19" s="173">
        <f>19479166.67+1375000</f>
        <v>20854166.670000002</v>
      </c>
      <c r="G19" s="159">
        <v>0</v>
      </c>
      <c r="H19" s="173">
        <f>19479166.67+1375000</f>
        <v>20854166.670000002</v>
      </c>
      <c r="I19" s="92">
        <f>14+1</f>
        <v>15</v>
      </c>
    </row>
    <row r="20" spans="1:10" ht="15" customHeight="1" x14ac:dyDescent="0.25">
      <c r="C20" s="48"/>
      <c r="D20" s="37" t="s">
        <v>1118</v>
      </c>
      <c r="E20" s="94">
        <v>2000000</v>
      </c>
      <c r="F20" s="173">
        <f>163230+27205</f>
        <v>190435</v>
      </c>
      <c r="G20" s="159">
        <v>0</v>
      </c>
      <c r="H20" s="173">
        <f>163230+27205</f>
        <v>190435</v>
      </c>
      <c r="I20" s="92">
        <f>6+1</f>
        <v>7</v>
      </c>
    </row>
    <row r="21" spans="1:10" ht="15" customHeight="1" x14ac:dyDescent="0.25">
      <c r="C21" s="48"/>
      <c r="D21" s="37" t="s">
        <v>1275</v>
      </c>
      <c r="E21" s="94">
        <v>50000000</v>
      </c>
      <c r="F21" s="173">
        <f>1250000+625000</f>
        <v>1875000</v>
      </c>
      <c r="G21" s="159">
        <v>0</v>
      </c>
      <c r="H21" s="173">
        <f>1250000+625000</f>
        <v>1875000</v>
      </c>
      <c r="I21" s="92">
        <f>2+1</f>
        <v>3</v>
      </c>
    </row>
    <row r="22" spans="1:10" ht="15" customHeight="1" x14ac:dyDescent="0.25">
      <c r="C22" s="48">
        <v>15</v>
      </c>
      <c r="D22" s="38" t="s">
        <v>1071</v>
      </c>
      <c r="E22" s="93">
        <v>13179000</v>
      </c>
      <c r="F22" s="158">
        <f>1153162.5+164737.5</f>
        <v>1317900</v>
      </c>
      <c r="G22" s="159">
        <v>0</v>
      </c>
      <c r="H22" s="158">
        <f>1153162.5+164737.5</f>
        <v>1317900</v>
      </c>
      <c r="I22" s="92">
        <f>7+1</f>
        <v>8</v>
      </c>
    </row>
    <row r="23" spans="1:10" ht="15" customHeight="1" x14ac:dyDescent="0.25">
      <c r="C23" s="49" t="s">
        <v>1305</v>
      </c>
      <c r="D23" s="38" t="s">
        <v>821</v>
      </c>
      <c r="E23" s="94">
        <v>12639000</v>
      </c>
      <c r="F23" s="158">
        <v>1549867.5</v>
      </c>
      <c r="G23" s="159">
        <v>1549867.5</v>
      </c>
      <c r="H23" s="173">
        <v>0</v>
      </c>
      <c r="I23" s="92">
        <v>0</v>
      </c>
      <c r="J23" s="107"/>
    </row>
    <row r="24" spans="1:10" ht="15" customHeight="1" x14ac:dyDescent="0.25">
      <c r="C24" s="48"/>
      <c r="D24" s="37" t="s">
        <v>1120</v>
      </c>
      <c r="E24" s="94">
        <v>1706000</v>
      </c>
      <c r="F24" s="158">
        <f>139425+23237.5</f>
        <v>162662.5</v>
      </c>
      <c r="G24" s="159">
        <v>0</v>
      </c>
      <c r="H24" s="158">
        <f>139425+23237.5</f>
        <v>162662.5</v>
      </c>
      <c r="I24" s="92">
        <f>6+1</f>
        <v>7</v>
      </c>
    </row>
    <row r="25" spans="1:10" s="95" customFormat="1" ht="15" customHeight="1" x14ac:dyDescent="0.25">
      <c r="C25" s="96" t="s">
        <v>1194</v>
      </c>
      <c r="D25" s="97" t="s">
        <v>1197</v>
      </c>
      <c r="E25" s="98">
        <v>2892000</v>
      </c>
      <c r="F25" s="170">
        <v>197062.5</v>
      </c>
      <c r="G25" s="171">
        <v>197062.5</v>
      </c>
      <c r="H25" s="172" t="s">
        <v>461</v>
      </c>
      <c r="I25" s="196">
        <v>0</v>
      </c>
    </row>
    <row r="26" spans="1:10" ht="15" customHeight="1" x14ac:dyDescent="0.25">
      <c r="A26" s="95"/>
      <c r="B26" s="95"/>
      <c r="C26" s="96"/>
      <c r="D26" s="97" t="s">
        <v>1353</v>
      </c>
      <c r="E26" s="98">
        <v>12000000</v>
      </c>
      <c r="F26" s="170">
        <v>327000</v>
      </c>
      <c r="G26" s="171">
        <v>327000</v>
      </c>
      <c r="H26" s="172">
        <v>0</v>
      </c>
      <c r="I26" s="196">
        <v>0</v>
      </c>
    </row>
    <row r="27" spans="1:10" s="95" customFormat="1" ht="15" customHeight="1" x14ac:dyDescent="0.25">
      <c r="C27" s="96">
        <v>7</v>
      </c>
      <c r="D27" s="97" t="s">
        <v>1235</v>
      </c>
      <c r="E27" s="98">
        <v>5000000</v>
      </c>
      <c r="F27" s="170">
        <v>204375</v>
      </c>
      <c r="G27" s="171">
        <v>0</v>
      </c>
      <c r="H27" s="172" t="s">
        <v>461</v>
      </c>
      <c r="I27" s="196">
        <v>3</v>
      </c>
    </row>
    <row r="28" spans="1:10" ht="15" customHeight="1" x14ac:dyDescent="0.25">
      <c r="C28" s="48">
        <v>27</v>
      </c>
      <c r="D28" s="38" t="s">
        <v>822</v>
      </c>
      <c r="E28" s="94">
        <v>21750000</v>
      </c>
      <c r="F28" s="158">
        <f>3806250+271875</f>
        <v>4078125</v>
      </c>
      <c r="G28" s="159">
        <v>0</v>
      </c>
      <c r="H28" s="158">
        <f>3806250+271875</f>
        <v>4078125</v>
      </c>
      <c r="I28" s="92">
        <f>14+1</f>
        <v>15</v>
      </c>
    </row>
    <row r="29" spans="1:10" ht="15" customHeight="1" x14ac:dyDescent="0.25">
      <c r="C29" s="48"/>
      <c r="D29" s="38" t="s">
        <v>929</v>
      </c>
      <c r="E29" s="94">
        <v>7500000</v>
      </c>
      <c r="F29" s="261">
        <f>919687.5+102187.5</f>
        <v>1021875</v>
      </c>
      <c r="G29" s="159">
        <v>0</v>
      </c>
      <c r="H29" s="158">
        <f>919687.5+102187.5</f>
        <v>1021875</v>
      </c>
      <c r="I29" s="92">
        <f>9+1</f>
        <v>10</v>
      </c>
    </row>
    <row r="30" spans="1:10" ht="15" customHeight="1" x14ac:dyDescent="0.25">
      <c r="C30" s="48">
        <v>15</v>
      </c>
      <c r="D30" s="38" t="s">
        <v>823</v>
      </c>
      <c r="E30" s="94">
        <v>20093000</v>
      </c>
      <c r="F30" s="158">
        <f>3011525+273775</f>
        <v>3285300</v>
      </c>
      <c r="G30" s="159">
        <v>0</v>
      </c>
      <c r="H30" s="158">
        <f>3011525+273775</f>
        <v>3285300</v>
      </c>
      <c r="I30" s="92">
        <f>11+1</f>
        <v>12</v>
      </c>
    </row>
    <row r="31" spans="1:10" ht="15" customHeight="1" x14ac:dyDescent="0.25">
      <c r="C31" s="48">
        <v>27</v>
      </c>
      <c r="D31" s="38" t="s">
        <v>824</v>
      </c>
      <c r="E31" s="94">
        <v>38000000</v>
      </c>
      <c r="F31" s="158">
        <f>5177500+517750</f>
        <v>5695250</v>
      </c>
      <c r="G31" s="159">
        <v>0</v>
      </c>
      <c r="H31" s="158">
        <f>5177500+517750</f>
        <v>5695250</v>
      </c>
      <c r="I31" s="92">
        <f>10+1</f>
        <v>11</v>
      </c>
    </row>
    <row r="32" spans="1:10" s="95" customFormat="1" ht="15" customHeight="1" x14ac:dyDescent="0.25">
      <c r="A32" s="65"/>
      <c r="C32" s="49" t="s">
        <v>1240</v>
      </c>
      <c r="D32" s="38" t="s">
        <v>930</v>
      </c>
      <c r="E32" s="94">
        <v>15000000</v>
      </c>
      <c r="F32" s="158">
        <f>1687500+187500</f>
        <v>1875000</v>
      </c>
      <c r="G32" s="159">
        <v>0</v>
      </c>
      <c r="H32" s="158">
        <f>1687500+187500</f>
        <v>1875000</v>
      </c>
      <c r="I32" s="92">
        <f>9+1</f>
        <v>10</v>
      </c>
    </row>
    <row r="33" spans="3:9" s="95" customFormat="1" x14ac:dyDescent="0.25">
      <c r="C33" s="96" t="s">
        <v>1326</v>
      </c>
      <c r="D33" s="97" t="s">
        <v>1198</v>
      </c>
      <c r="E33" s="98">
        <v>44000000</v>
      </c>
      <c r="F33" s="170">
        <v>550000</v>
      </c>
      <c r="G33" s="171">
        <v>550000</v>
      </c>
      <c r="H33" s="172" t="s">
        <v>461</v>
      </c>
      <c r="I33" s="196">
        <v>0</v>
      </c>
    </row>
    <row r="34" spans="3:9" ht="15" customHeight="1" x14ac:dyDescent="0.25">
      <c r="C34" s="48"/>
      <c r="D34" s="38" t="s">
        <v>1026</v>
      </c>
      <c r="E34" s="94">
        <v>4656000</v>
      </c>
      <c r="F34" s="158">
        <f>507540+63442.5</f>
        <v>570982.5</v>
      </c>
      <c r="G34" s="159">
        <v>0</v>
      </c>
      <c r="H34" s="158">
        <f>507540+63442.5</f>
        <v>570982.5</v>
      </c>
      <c r="I34" s="92">
        <f>8+1</f>
        <v>9</v>
      </c>
    </row>
    <row r="35" spans="3:9" ht="15" customHeight="1" x14ac:dyDescent="0.25">
      <c r="C35" s="48"/>
      <c r="D35" s="38" t="s">
        <v>931</v>
      </c>
      <c r="E35" s="94">
        <v>5100000</v>
      </c>
      <c r="F35" s="158">
        <f>625387.5+69487.5</f>
        <v>694875</v>
      </c>
      <c r="G35" s="159">
        <v>0</v>
      </c>
      <c r="H35" s="158">
        <f>625387.5+69487.5</f>
        <v>694875</v>
      </c>
      <c r="I35" s="92">
        <f>9+1</f>
        <v>10</v>
      </c>
    </row>
    <row r="36" spans="3:9" x14ac:dyDescent="0.25">
      <c r="C36" s="48">
        <v>4</v>
      </c>
      <c r="D36" s="38" t="s">
        <v>1072</v>
      </c>
      <c r="E36" s="93">
        <v>16000000</v>
      </c>
      <c r="F36" s="158">
        <f>1000000+200000</f>
        <v>1200000</v>
      </c>
      <c r="G36" s="158">
        <v>1200000</v>
      </c>
      <c r="H36" s="173">
        <v>0</v>
      </c>
      <c r="I36" s="92">
        <v>0</v>
      </c>
    </row>
    <row r="37" spans="3:9" ht="15" customHeight="1" x14ac:dyDescent="0.25">
      <c r="C37" s="48"/>
      <c r="D37" s="37" t="s">
        <v>1121</v>
      </c>
      <c r="E37" s="93">
        <v>9201000</v>
      </c>
      <c r="F37" s="158">
        <f>690075+115012.5</f>
        <v>805087.5</v>
      </c>
      <c r="G37" s="159">
        <v>0</v>
      </c>
      <c r="H37" s="173">
        <f>690075+115012.5</f>
        <v>805087.5</v>
      </c>
      <c r="I37" s="92">
        <f>6+1</f>
        <v>7</v>
      </c>
    </row>
    <row r="38" spans="3:9" s="95" customFormat="1" ht="15" customHeight="1" x14ac:dyDescent="0.25">
      <c r="C38" s="96">
        <v>35</v>
      </c>
      <c r="D38" s="97" t="s">
        <v>1199</v>
      </c>
      <c r="E38" s="98">
        <v>38970000</v>
      </c>
      <c r="F38" s="170">
        <v>3409875</v>
      </c>
      <c r="G38" s="171">
        <v>0</v>
      </c>
      <c r="H38" s="172" t="s">
        <v>461</v>
      </c>
      <c r="I38" s="196">
        <v>7</v>
      </c>
    </row>
    <row r="39" spans="3:9" s="95" customFormat="1" ht="15" customHeight="1" x14ac:dyDescent="0.25">
      <c r="C39" s="96">
        <v>7</v>
      </c>
      <c r="D39" s="97" t="s">
        <v>1200</v>
      </c>
      <c r="E39" s="98">
        <v>4114000</v>
      </c>
      <c r="F39" s="170">
        <v>224240</v>
      </c>
      <c r="G39" s="171">
        <v>0</v>
      </c>
      <c r="H39" s="172" t="s">
        <v>461</v>
      </c>
      <c r="I39" s="196">
        <v>4</v>
      </c>
    </row>
    <row r="40" spans="3:9" s="95" customFormat="1" ht="15" customHeight="1" x14ac:dyDescent="0.25">
      <c r="C40" s="96" t="s">
        <v>1311</v>
      </c>
      <c r="D40" s="97" t="s">
        <v>1309</v>
      </c>
      <c r="E40" s="98">
        <v>24300000</v>
      </c>
      <c r="F40" s="170">
        <v>1655437.5</v>
      </c>
      <c r="G40" s="171">
        <v>1655437.5</v>
      </c>
      <c r="H40" s="172">
        <v>0</v>
      </c>
      <c r="I40" s="196">
        <v>0</v>
      </c>
    </row>
    <row r="41" spans="3:9" ht="15" customHeight="1" x14ac:dyDescent="0.25">
      <c r="C41" s="48">
        <v>15</v>
      </c>
      <c r="D41" s="38" t="s">
        <v>825</v>
      </c>
      <c r="E41" s="94">
        <v>11560000</v>
      </c>
      <c r="F41" s="158">
        <f>1589500+144500</f>
        <v>1734000</v>
      </c>
      <c r="G41" s="159">
        <v>0</v>
      </c>
      <c r="H41" s="173">
        <f>1589500+144500</f>
        <v>1734000</v>
      </c>
      <c r="I41" s="92">
        <f>11+1</f>
        <v>12</v>
      </c>
    </row>
    <row r="42" spans="3:9" ht="15" customHeight="1" x14ac:dyDescent="0.25">
      <c r="C42" s="48">
        <v>15</v>
      </c>
      <c r="D42" s="37" t="s">
        <v>1122</v>
      </c>
      <c r="E42" s="94">
        <v>22500000</v>
      </c>
      <c r="F42" s="158">
        <f>1839375+306562.5</f>
        <v>2145937.5</v>
      </c>
      <c r="G42" s="159">
        <v>0</v>
      </c>
      <c r="H42" s="173">
        <f>1839375+306562.5</f>
        <v>2145937.5</v>
      </c>
      <c r="I42" s="92">
        <f>6+1</f>
        <v>7</v>
      </c>
    </row>
    <row r="43" spans="3:9" s="95" customFormat="1" ht="15" customHeight="1" x14ac:dyDescent="0.25">
      <c r="C43" s="96">
        <v>49</v>
      </c>
      <c r="D43" s="97" t="s">
        <v>1340</v>
      </c>
      <c r="E43" s="98">
        <v>7225000</v>
      </c>
      <c r="F43" s="170">
        <v>722500</v>
      </c>
      <c r="G43" s="171">
        <v>0</v>
      </c>
      <c r="H43" s="172" t="s">
        <v>461</v>
      </c>
      <c r="I43" s="196">
        <v>8</v>
      </c>
    </row>
    <row r="44" spans="3:9" s="95" customFormat="1" ht="15" customHeight="1" x14ac:dyDescent="0.25">
      <c r="C44" s="96" t="s">
        <v>1327</v>
      </c>
      <c r="D44" s="97" t="s">
        <v>1312</v>
      </c>
      <c r="E44" s="98">
        <v>135000000</v>
      </c>
      <c r="F44" s="170">
        <v>11812500</v>
      </c>
      <c r="G44" s="170">
        <v>11812500</v>
      </c>
      <c r="H44" s="172">
        <v>0</v>
      </c>
      <c r="I44" s="196">
        <v>0</v>
      </c>
    </row>
    <row r="45" spans="3:9" ht="15" customHeight="1" x14ac:dyDescent="0.25">
      <c r="C45" s="48">
        <v>37</v>
      </c>
      <c r="D45" s="38" t="s">
        <v>826</v>
      </c>
      <c r="E45" s="94">
        <v>11385000</v>
      </c>
      <c r="F45" s="158">
        <f>1565437.5+142312.5</f>
        <v>1707750</v>
      </c>
      <c r="G45" s="159">
        <v>0</v>
      </c>
      <c r="H45" s="173">
        <f>1565437.5+142312.5</f>
        <v>1707750</v>
      </c>
      <c r="I45" s="92">
        <f>11+1</f>
        <v>12</v>
      </c>
    </row>
    <row r="46" spans="3:9" ht="15" customHeight="1" x14ac:dyDescent="0.25">
      <c r="C46" s="48">
        <v>28</v>
      </c>
      <c r="D46" s="38" t="s">
        <v>827</v>
      </c>
      <c r="E46" s="94">
        <v>32668000</v>
      </c>
      <c r="F46" s="158">
        <f>5308550+408350</f>
        <v>5716900</v>
      </c>
      <c r="G46" s="159">
        <v>0</v>
      </c>
      <c r="H46" s="173">
        <f>5308550+408350</f>
        <v>5716900</v>
      </c>
      <c r="I46" s="92">
        <f>13+1</f>
        <v>14</v>
      </c>
    </row>
    <row r="47" spans="3:9" s="95" customFormat="1" ht="15" customHeight="1" x14ac:dyDescent="0.25">
      <c r="C47" s="96" t="s">
        <v>664</v>
      </c>
      <c r="D47" s="97" t="s">
        <v>1201</v>
      </c>
      <c r="E47" s="98">
        <v>2330000000</v>
      </c>
      <c r="F47" s="170">
        <v>29125000</v>
      </c>
      <c r="G47" s="171">
        <v>0</v>
      </c>
      <c r="H47" s="172" t="s">
        <v>461</v>
      </c>
      <c r="I47" s="196">
        <v>2</v>
      </c>
    </row>
    <row r="48" spans="3:9" s="95" customFormat="1" ht="15" customHeight="1" x14ac:dyDescent="0.25">
      <c r="C48" s="96">
        <v>7</v>
      </c>
      <c r="D48" s="97" t="s">
        <v>1202</v>
      </c>
      <c r="E48" s="98">
        <v>10400000</v>
      </c>
      <c r="F48" s="170">
        <v>1275300</v>
      </c>
      <c r="G48" s="171">
        <v>0</v>
      </c>
      <c r="H48" s="172" t="s">
        <v>461</v>
      </c>
      <c r="I48" s="196">
        <v>9</v>
      </c>
    </row>
    <row r="49" spans="1:10" ht="16.5" customHeight="1" x14ac:dyDescent="0.25">
      <c r="C49" s="48">
        <v>27</v>
      </c>
      <c r="D49" s="38" t="s">
        <v>828</v>
      </c>
      <c r="E49" s="94">
        <v>24990000</v>
      </c>
      <c r="F49" s="158">
        <f>3745500+340500</f>
        <v>4086000</v>
      </c>
      <c r="G49" s="159">
        <v>0</v>
      </c>
      <c r="H49" s="173">
        <f>3745500+340500</f>
        <v>4086000</v>
      </c>
      <c r="I49" s="92">
        <f>11+1</f>
        <v>12</v>
      </c>
    </row>
    <row r="50" spans="1:10" ht="15" customHeight="1" x14ac:dyDescent="0.25">
      <c r="C50" s="48"/>
      <c r="D50" s="38" t="s">
        <v>829</v>
      </c>
      <c r="E50" s="94">
        <v>6300000</v>
      </c>
      <c r="F50" s="158">
        <f>1030050+85837.5</f>
        <v>1115887.5</v>
      </c>
      <c r="G50" s="159">
        <v>0</v>
      </c>
      <c r="H50" s="173">
        <f>1030050+85837.5</f>
        <v>1115887.5</v>
      </c>
      <c r="I50" s="92">
        <f>12+1</f>
        <v>13</v>
      </c>
    </row>
    <row r="51" spans="1:10" ht="15" customHeight="1" x14ac:dyDescent="0.25">
      <c r="C51" s="48">
        <v>28</v>
      </c>
      <c r="D51" s="38" t="s">
        <v>830</v>
      </c>
      <c r="E51" s="94">
        <v>300000000</v>
      </c>
      <c r="F51" s="158">
        <f>41250000+3750000</f>
        <v>45000000</v>
      </c>
      <c r="G51" s="159">
        <v>0</v>
      </c>
      <c r="H51" s="173">
        <f>41250000+3750000</f>
        <v>45000000</v>
      </c>
      <c r="I51" s="92">
        <f>11+1</f>
        <v>12</v>
      </c>
    </row>
    <row r="52" spans="1:10" ht="15" customHeight="1" x14ac:dyDescent="0.25">
      <c r="C52" s="48"/>
      <c r="D52" s="38" t="s">
        <v>831</v>
      </c>
      <c r="E52" s="94">
        <v>9439000</v>
      </c>
      <c r="F52" s="158">
        <f>1297862.5+117987.5</f>
        <v>1415850</v>
      </c>
      <c r="G52" s="159">
        <v>0</v>
      </c>
      <c r="H52" s="173">
        <f>1297862.5+117987.5</f>
        <v>1415850</v>
      </c>
      <c r="I52" s="92">
        <f>11+1</f>
        <v>12</v>
      </c>
    </row>
    <row r="53" spans="1:10" s="95" customFormat="1" ht="15" customHeight="1" x14ac:dyDescent="0.25">
      <c r="C53" s="96" t="s">
        <v>1291</v>
      </c>
      <c r="D53" s="97" t="s">
        <v>1365</v>
      </c>
      <c r="E53" s="98">
        <v>3000000</v>
      </c>
      <c r="F53" s="170">
        <v>204375</v>
      </c>
      <c r="G53" s="170">
        <v>204375</v>
      </c>
      <c r="H53" s="172">
        <v>0</v>
      </c>
      <c r="I53" s="196">
        <v>0</v>
      </c>
    </row>
    <row r="54" spans="1:10" ht="15" customHeight="1" x14ac:dyDescent="0.25">
      <c r="C54" s="48"/>
      <c r="D54" s="38" t="s">
        <v>1073</v>
      </c>
      <c r="E54" s="99">
        <v>9950000</v>
      </c>
      <c r="F54" s="158">
        <f>870625+124375</f>
        <v>995000</v>
      </c>
      <c r="G54" s="159">
        <v>0</v>
      </c>
      <c r="H54" s="173">
        <f>870625+124375</f>
        <v>995000</v>
      </c>
      <c r="I54" s="92">
        <f>7+1</f>
        <v>8</v>
      </c>
    </row>
    <row r="55" spans="1:10" ht="15" customHeight="1" x14ac:dyDescent="0.25">
      <c r="C55" s="48">
        <v>15</v>
      </c>
      <c r="D55" s="37" t="s">
        <v>1123</v>
      </c>
      <c r="E55" s="99">
        <v>16015000</v>
      </c>
      <c r="F55" s="158">
        <f>1265925+210987.5</f>
        <v>1476912.5</v>
      </c>
      <c r="G55" s="159">
        <v>0</v>
      </c>
      <c r="H55" s="173">
        <f>1265925+210987.5</f>
        <v>1476912.5</v>
      </c>
      <c r="I55" s="92">
        <f>6+1</f>
        <v>7</v>
      </c>
    </row>
    <row r="56" spans="1:10" ht="15" customHeight="1" x14ac:dyDescent="0.25">
      <c r="C56" s="48">
        <v>15</v>
      </c>
      <c r="D56" s="37" t="s">
        <v>1150</v>
      </c>
      <c r="E56" s="99">
        <v>10000000</v>
      </c>
      <c r="F56" s="158">
        <f>681250+136250</f>
        <v>817500</v>
      </c>
      <c r="G56" s="159">
        <v>0</v>
      </c>
      <c r="H56" s="173">
        <f>681250+136250</f>
        <v>817500</v>
      </c>
      <c r="I56" s="92">
        <f>5+1</f>
        <v>6</v>
      </c>
    </row>
    <row r="57" spans="1:10" ht="15" customHeight="1" x14ac:dyDescent="0.25">
      <c r="C57" s="48"/>
      <c r="D57" s="37" t="s">
        <v>1234</v>
      </c>
      <c r="E57" s="99">
        <v>28000000</v>
      </c>
      <c r="F57" s="158">
        <f>1050000+350000</f>
        <v>1400000</v>
      </c>
      <c r="G57" s="159">
        <v>0</v>
      </c>
      <c r="H57" s="173">
        <f>1050000+350000</f>
        <v>1400000</v>
      </c>
      <c r="I57" s="92">
        <f>3+1</f>
        <v>4</v>
      </c>
    </row>
    <row r="58" spans="1:10" ht="15" customHeight="1" x14ac:dyDescent="0.25">
      <c r="C58" s="49" t="s">
        <v>1253</v>
      </c>
      <c r="D58" s="38" t="s">
        <v>932</v>
      </c>
      <c r="E58" s="94">
        <v>17680000</v>
      </c>
      <c r="F58" s="158">
        <v>1547000</v>
      </c>
      <c r="G58" s="159">
        <v>1547000</v>
      </c>
      <c r="H58" s="173">
        <v>0</v>
      </c>
      <c r="I58" s="92">
        <v>0</v>
      </c>
    </row>
    <row r="59" spans="1:10" s="95" customFormat="1" ht="15" customHeight="1" x14ac:dyDescent="0.25">
      <c r="C59" s="96"/>
      <c r="D59" s="97" t="s">
        <v>1383</v>
      </c>
      <c r="E59" s="223">
        <v>6970000</v>
      </c>
      <c r="F59" s="170">
        <f>664842.5+94977.5</f>
        <v>759820</v>
      </c>
      <c r="G59" s="171">
        <v>341919</v>
      </c>
      <c r="H59" s="172" t="s">
        <v>461</v>
      </c>
      <c r="I59" s="196">
        <v>4</v>
      </c>
    </row>
    <row r="60" spans="1:10" ht="15" customHeight="1" x14ac:dyDescent="0.25">
      <c r="C60" s="48">
        <v>15</v>
      </c>
      <c r="D60" s="37" t="s">
        <v>1124</v>
      </c>
      <c r="E60" s="93">
        <v>17806000</v>
      </c>
      <c r="F60" s="158">
        <f>1455600+242600</f>
        <v>1698200</v>
      </c>
      <c r="G60" s="159">
        <v>0</v>
      </c>
      <c r="H60" s="158">
        <f>1455600+242600</f>
        <v>1698200</v>
      </c>
      <c r="I60" s="92">
        <f>6+1</f>
        <v>7</v>
      </c>
      <c r="J60" s="146"/>
    </row>
    <row r="61" spans="1:10" s="95" customFormat="1" ht="15" customHeight="1" x14ac:dyDescent="0.25">
      <c r="C61" s="96"/>
      <c r="D61" s="97" t="s">
        <v>1384</v>
      </c>
      <c r="E61" s="223">
        <v>15600000</v>
      </c>
      <c r="F61" s="170">
        <f>390000+195000</f>
        <v>585000</v>
      </c>
      <c r="G61" s="171">
        <v>0</v>
      </c>
      <c r="H61" s="172" t="s">
        <v>461</v>
      </c>
      <c r="I61" s="196">
        <f>2+1</f>
        <v>3</v>
      </c>
    </row>
    <row r="62" spans="1:10" s="185" customFormat="1" x14ac:dyDescent="0.25">
      <c r="A62" s="95"/>
      <c r="B62" s="236"/>
      <c r="C62" s="96">
        <v>4</v>
      </c>
      <c r="D62" s="97" t="s">
        <v>1352</v>
      </c>
      <c r="E62" s="98">
        <v>3285000</v>
      </c>
      <c r="F62" s="170">
        <v>268515</v>
      </c>
      <c r="G62" s="170">
        <v>268515</v>
      </c>
      <c r="H62" s="237">
        <v>0</v>
      </c>
      <c r="I62" s="196">
        <v>0</v>
      </c>
    </row>
    <row r="63" spans="1:10" x14ac:dyDescent="0.25">
      <c r="C63" s="48">
        <v>4</v>
      </c>
      <c r="D63" s="38" t="s">
        <v>933</v>
      </c>
      <c r="E63" s="94">
        <v>5000000</v>
      </c>
      <c r="F63" s="158">
        <v>272500</v>
      </c>
      <c r="G63" s="159">
        <v>272500</v>
      </c>
      <c r="H63" s="173">
        <v>0</v>
      </c>
      <c r="I63" s="92">
        <v>0</v>
      </c>
    </row>
    <row r="64" spans="1:10" x14ac:dyDescent="0.25">
      <c r="C64" s="49" t="s">
        <v>1272</v>
      </c>
      <c r="D64" s="37" t="s">
        <v>1178</v>
      </c>
      <c r="E64" s="93">
        <v>24900000</v>
      </c>
      <c r="F64" s="158">
        <v>1556250</v>
      </c>
      <c r="G64" s="158">
        <v>1556250</v>
      </c>
      <c r="H64" s="173">
        <v>0</v>
      </c>
      <c r="I64" s="92">
        <v>0</v>
      </c>
    </row>
    <row r="65" spans="1:9" ht="15" customHeight="1" x14ac:dyDescent="0.25">
      <c r="C65" s="48"/>
      <c r="D65" s="38" t="s">
        <v>1027</v>
      </c>
      <c r="E65" s="94">
        <v>2400000</v>
      </c>
      <c r="F65" s="158">
        <f>261600+32700</f>
        <v>294300</v>
      </c>
      <c r="G65" s="159">
        <v>0</v>
      </c>
      <c r="H65" s="158">
        <f>261600+32700</f>
        <v>294300</v>
      </c>
      <c r="I65" s="92">
        <f>8+1</f>
        <v>9</v>
      </c>
    </row>
    <row r="66" spans="1:9" ht="15" customHeight="1" x14ac:dyDescent="0.25">
      <c r="C66" s="48"/>
      <c r="D66" s="37" t="s">
        <v>1177</v>
      </c>
      <c r="E66" s="94">
        <v>9000000</v>
      </c>
      <c r="F66" s="158">
        <f>490500+122625</f>
        <v>613125</v>
      </c>
      <c r="G66" s="159">
        <v>0</v>
      </c>
      <c r="H66" s="158">
        <f>490500+122625</f>
        <v>613125</v>
      </c>
      <c r="I66" s="92">
        <f>4+1</f>
        <v>5</v>
      </c>
    </row>
    <row r="67" spans="1:9" ht="15" customHeight="1" x14ac:dyDescent="0.25">
      <c r="C67" s="48">
        <v>15</v>
      </c>
      <c r="D67" s="38" t="s">
        <v>832</v>
      </c>
      <c r="E67" s="94">
        <v>146053000</v>
      </c>
      <c r="F67" s="158">
        <f>25869740+1989980</f>
        <v>27859720</v>
      </c>
      <c r="G67" s="159">
        <v>0</v>
      </c>
      <c r="H67" s="158">
        <f>25869740+1989980</f>
        <v>27859720</v>
      </c>
      <c r="I67" s="92">
        <f>13+1</f>
        <v>14</v>
      </c>
    </row>
    <row r="68" spans="1:9" ht="15" customHeight="1" x14ac:dyDescent="0.25">
      <c r="C68" s="48">
        <v>15</v>
      </c>
      <c r="D68" s="38" t="s">
        <v>1074</v>
      </c>
      <c r="E68" s="93">
        <v>24000000</v>
      </c>
      <c r="F68" s="158">
        <f>2100000+300000</f>
        <v>2400000</v>
      </c>
      <c r="G68" s="159">
        <v>0</v>
      </c>
      <c r="H68" s="158">
        <f>2100000+300000</f>
        <v>2400000</v>
      </c>
      <c r="I68" s="92">
        <f>7+1</f>
        <v>8</v>
      </c>
    </row>
    <row r="69" spans="1:9" ht="15" customHeight="1" x14ac:dyDescent="0.25">
      <c r="A69" s="282"/>
      <c r="C69" s="48" t="s">
        <v>1380</v>
      </c>
      <c r="D69" s="38" t="s">
        <v>1378</v>
      </c>
      <c r="E69" s="94">
        <v>14800000</v>
      </c>
      <c r="F69" s="158">
        <v>2016500</v>
      </c>
      <c r="G69" s="159">
        <v>2016500</v>
      </c>
      <c r="H69" s="158">
        <v>0</v>
      </c>
      <c r="I69" s="92">
        <v>0</v>
      </c>
    </row>
    <row r="70" spans="1:9" x14ac:dyDescent="0.25">
      <c r="A70" s="282"/>
      <c r="C70" s="48">
        <v>4</v>
      </c>
      <c r="D70" s="38" t="s">
        <v>833</v>
      </c>
      <c r="E70" s="94">
        <v>11000000</v>
      </c>
      <c r="F70" s="158">
        <f>299750+149875</f>
        <v>449625</v>
      </c>
      <c r="G70" s="159">
        <v>149875</v>
      </c>
      <c r="H70" s="173">
        <f>149875+149875</f>
        <v>299750</v>
      </c>
      <c r="I70" s="92">
        <f>1+1</f>
        <v>2</v>
      </c>
    </row>
    <row r="71" spans="1:9" ht="15" customHeight="1" x14ac:dyDescent="0.25">
      <c r="C71" s="48">
        <v>15</v>
      </c>
      <c r="D71" s="38" t="s">
        <v>834</v>
      </c>
      <c r="E71" s="94">
        <v>21042000</v>
      </c>
      <c r="F71" s="158">
        <f>3440340+286695</f>
        <v>3727035</v>
      </c>
      <c r="G71" s="159">
        <v>0</v>
      </c>
      <c r="H71" s="158">
        <f>3440340+286695</f>
        <v>3727035</v>
      </c>
      <c r="I71" s="92">
        <f>12+1</f>
        <v>13</v>
      </c>
    </row>
    <row r="72" spans="1:9" ht="15" customHeight="1" x14ac:dyDescent="0.25">
      <c r="C72" s="48"/>
      <c r="D72" s="38" t="s">
        <v>835</v>
      </c>
      <c r="E72" s="94">
        <v>6657000</v>
      </c>
      <c r="F72" s="158">
        <f>966786.67+87712.5</f>
        <v>1054499.17</v>
      </c>
      <c r="G72" s="159">
        <v>0</v>
      </c>
      <c r="H72" s="158">
        <f>966786.67+87712.5</f>
        <v>1054499.17</v>
      </c>
      <c r="I72" s="92">
        <f>11+1</f>
        <v>12</v>
      </c>
    </row>
    <row r="73" spans="1:9" s="95" customFormat="1" ht="15" customHeight="1" x14ac:dyDescent="0.25">
      <c r="C73" s="96"/>
      <c r="D73" s="97" t="s">
        <v>1385</v>
      </c>
      <c r="E73" s="98">
        <v>3422000</v>
      </c>
      <c r="F73" s="170">
        <f>46622.5+46622.5</f>
        <v>93245</v>
      </c>
      <c r="G73" s="171">
        <v>0</v>
      </c>
      <c r="H73" s="172" t="s">
        <v>461</v>
      </c>
      <c r="I73" s="196">
        <f>1+1</f>
        <v>2</v>
      </c>
    </row>
    <row r="74" spans="1:9" x14ac:dyDescent="0.25">
      <c r="C74" s="48" t="s">
        <v>1053</v>
      </c>
      <c r="D74" s="38" t="s">
        <v>905</v>
      </c>
      <c r="E74" s="94">
        <v>400000000</v>
      </c>
      <c r="F74" s="158">
        <v>42681526.390000001</v>
      </c>
      <c r="G74" s="159">
        <v>42681526.390000001</v>
      </c>
      <c r="H74" s="173">
        <v>0</v>
      </c>
      <c r="I74" s="92">
        <v>0</v>
      </c>
    </row>
    <row r="75" spans="1:9" ht="15" customHeight="1" x14ac:dyDescent="0.25">
      <c r="C75" s="48">
        <v>28</v>
      </c>
      <c r="D75" s="37" t="s">
        <v>836</v>
      </c>
      <c r="E75" s="94">
        <v>295400000</v>
      </c>
      <c r="F75" s="158">
        <f>52322725+4024825</f>
        <v>56347550</v>
      </c>
      <c r="G75" s="159">
        <v>0</v>
      </c>
      <c r="H75" s="158">
        <f>52322725+4024825</f>
        <v>56347550</v>
      </c>
      <c r="I75" s="92">
        <f>13+1</f>
        <v>14</v>
      </c>
    </row>
    <row r="76" spans="1:9" s="95" customFormat="1" ht="15" customHeight="1" x14ac:dyDescent="0.25">
      <c r="C76" s="96">
        <v>26</v>
      </c>
      <c r="D76" s="97" t="s">
        <v>1203</v>
      </c>
      <c r="E76" s="98">
        <v>10685000</v>
      </c>
      <c r="F76" s="170">
        <v>534250</v>
      </c>
      <c r="G76" s="171">
        <v>0</v>
      </c>
      <c r="H76" s="172" t="s">
        <v>461</v>
      </c>
      <c r="I76" s="196">
        <v>4</v>
      </c>
    </row>
    <row r="77" spans="1:9" s="95" customFormat="1" ht="15" customHeight="1" x14ac:dyDescent="0.25">
      <c r="C77" s="96">
        <v>25</v>
      </c>
      <c r="D77" s="97" t="s">
        <v>1204</v>
      </c>
      <c r="E77" s="98">
        <v>16500000</v>
      </c>
      <c r="F77" s="170">
        <v>1031250</v>
      </c>
      <c r="G77" s="171">
        <v>0</v>
      </c>
      <c r="H77" s="172" t="s">
        <v>461</v>
      </c>
      <c r="I77" s="196">
        <v>5</v>
      </c>
    </row>
    <row r="78" spans="1:9" ht="15" customHeight="1" x14ac:dyDescent="0.25">
      <c r="C78" s="48">
        <v>15</v>
      </c>
      <c r="D78" s="38" t="s">
        <v>1028</v>
      </c>
      <c r="E78" s="94">
        <v>20000000</v>
      </c>
      <c r="F78" s="158">
        <f>2000000+250000</f>
        <v>2250000</v>
      </c>
      <c r="G78" s="159">
        <v>0</v>
      </c>
      <c r="H78" s="158">
        <f>2000000+250000</f>
        <v>2250000</v>
      </c>
      <c r="I78" s="92">
        <f>8+1</f>
        <v>9</v>
      </c>
    </row>
    <row r="79" spans="1:9" x14ac:dyDescent="0.25">
      <c r="C79" s="96">
        <v>4</v>
      </c>
      <c r="D79" s="97" t="s">
        <v>1351</v>
      </c>
      <c r="E79" s="98">
        <v>7570000</v>
      </c>
      <c r="F79" s="170">
        <v>103152.5</v>
      </c>
      <c r="G79" s="171">
        <v>103152.5</v>
      </c>
      <c r="H79" s="172">
        <v>0</v>
      </c>
      <c r="I79" s="196">
        <v>0</v>
      </c>
    </row>
    <row r="80" spans="1:9" ht="15" customHeight="1" x14ac:dyDescent="0.25">
      <c r="A80" s="95"/>
      <c r="B80" s="95"/>
      <c r="C80" s="96">
        <v>15</v>
      </c>
      <c r="D80" s="97" t="s">
        <v>1357</v>
      </c>
      <c r="E80" s="98">
        <v>72927000</v>
      </c>
      <c r="F80" s="170">
        <v>5469525</v>
      </c>
      <c r="G80" s="171">
        <v>0</v>
      </c>
      <c r="H80" s="172" t="s">
        <v>461</v>
      </c>
      <c r="I80" s="196">
        <v>6</v>
      </c>
    </row>
    <row r="81" spans="1:9" ht="15" customHeight="1" x14ac:dyDescent="0.25">
      <c r="C81" s="48"/>
      <c r="D81" s="37" t="s">
        <v>1175</v>
      </c>
      <c r="E81" s="94">
        <v>15349000</v>
      </c>
      <c r="F81" s="158">
        <f>836480+209120</f>
        <v>1045600</v>
      </c>
      <c r="G81" s="159">
        <v>0</v>
      </c>
      <c r="H81" s="158">
        <f>836480+209120</f>
        <v>1045600</v>
      </c>
      <c r="I81" s="92">
        <f>4+1</f>
        <v>5</v>
      </c>
    </row>
    <row r="82" spans="1:9" ht="15" customHeight="1" x14ac:dyDescent="0.25">
      <c r="C82" s="48">
        <v>28</v>
      </c>
      <c r="D82" s="38" t="s">
        <v>837</v>
      </c>
      <c r="E82" s="94">
        <v>33000000</v>
      </c>
      <c r="F82" s="158">
        <f>4537500+412500</f>
        <v>4950000</v>
      </c>
      <c r="G82" s="159">
        <v>0</v>
      </c>
      <c r="H82" s="158">
        <f>4537500+412500</f>
        <v>4950000</v>
      </c>
      <c r="I82" s="92">
        <f>11+1</f>
        <v>12</v>
      </c>
    </row>
    <row r="83" spans="1:9" ht="15" customHeight="1" x14ac:dyDescent="0.25">
      <c r="C83" s="48"/>
      <c r="D83" s="38" t="s">
        <v>838</v>
      </c>
      <c r="E83" s="94">
        <v>5500000</v>
      </c>
      <c r="F83" s="158">
        <f>824312.5+74937.5</f>
        <v>899250</v>
      </c>
      <c r="G83" s="159">
        <v>0</v>
      </c>
      <c r="H83" s="158">
        <f>824312.5+74937.5</f>
        <v>899250</v>
      </c>
      <c r="I83" s="92">
        <f>11+1</f>
        <v>12</v>
      </c>
    </row>
    <row r="84" spans="1:9" ht="15" customHeight="1" x14ac:dyDescent="0.25">
      <c r="C84" s="48">
        <v>15</v>
      </c>
      <c r="D84" s="38" t="s">
        <v>1029</v>
      </c>
      <c r="E84" s="94">
        <v>30000000</v>
      </c>
      <c r="F84" s="158">
        <f>3000000+375000</f>
        <v>3375000</v>
      </c>
      <c r="G84" s="159">
        <v>0</v>
      </c>
      <c r="H84" s="158">
        <f>3000000+375000</f>
        <v>3375000</v>
      </c>
      <c r="I84" s="92">
        <f>8+1</f>
        <v>9</v>
      </c>
    </row>
    <row r="85" spans="1:9" ht="15" customHeight="1" x14ac:dyDescent="0.25">
      <c r="C85" s="48"/>
      <c r="D85" s="37" t="s">
        <v>1236</v>
      </c>
      <c r="E85" s="94">
        <v>266657000</v>
      </c>
      <c r="F85" s="158">
        <f>9999637.5+3333212.5</f>
        <v>13332850</v>
      </c>
      <c r="G85" s="159">
        <v>0</v>
      </c>
      <c r="H85" s="158">
        <f>9999637.5+3333212.5</f>
        <v>13332850</v>
      </c>
      <c r="I85" s="92">
        <f>3+1</f>
        <v>4</v>
      </c>
    </row>
    <row r="86" spans="1:9" ht="15" customHeight="1" x14ac:dyDescent="0.25">
      <c r="C86" s="48">
        <v>15</v>
      </c>
      <c r="D86" s="38" t="s">
        <v>1030</v>
      </c>
      <c r="E86" s="94">
        <v>20471000</v>
      </c>
      <c r="F86" s="158">
        <f>2231420+278927.5</f>
        <v>2510347.5</v>
      </c>
      <c r="G86" s="159">
        <v>0</v>
      </c>
      <c r="H86" s="158">
        <f>2231420+278927.5</f>
        <v>2510347.5</v>
      </c>
      <c r="I86" s="92">
        <f>8+1</f>
        <v>9</v>
      </c>
    </row>
    <row r="87" spans="1:9" ht="15" customHeight="1" x14ac:dyDescent="0.25">
      <c r="C87" s="49" t="s">
        <v>1179</v>
      </c>
      <c r="D87" s="38" t="s">
        <v>839</v>
      </c>
      <c r="E87" s="94">
        <v>51500000</v>
      </c>
      <c r="F87" s="158">
        <v>3862500</v>
      </c>
      <c r="G87" s="159">
        <v>3862500</v>
      </c>
      <c r="H87" s="173">
        <v>0</v>
      </c>
      <c r="I87" s="92">
        <v>0</v>
      </c>
    </row>
    <row r="88" spans="1:9" s="95" customFormat="1" ht="15" customHeight="1" x14ac:dyDescent="0.25">
      <c r="C88" s="96">
        <v>7</v>
      </c>
      <c r="D88" s="97" t="s">
        <v>1205</v>
      </c>
      <c r="E88" s="98">
        <v>5800000</v>
      </c>
      <c r="F88" s="170">
        <v>435000</v>
      </c>
      <c r="G88" s="171">
        <v>0</v>
      </c>
      <c r="H88" s="172" t="s">
        <v>461</v>
      </c>
      <c r="I88" s="196">
        <v>6</v>
      </c>
    </row>
    <row r="89" spans="1:9" s="95" customFormat="1" ht="15" customHeight="1" x14ac:dyDescent="0.25">
      <c r="C89" s="96">
        <v>38</v>
      </c>
      <c r="D89" s="97" t="s">
        <v>1262</v>
      </c>
      <c r="E89" s="98">
        <v>6000000</v>
      </c>
      <c r="F89" s="170">
        <v>163500</v>
      </c>
      <c r="G89" s="171">
        <v>163500</v>
      </c>
      <c r="H89" s="172" t="s">
        <v>461</v>
      </c>
      <c r="I89" s="196">
        <v>0</v>
      </c>
    </row>
    <row r="90" spans="1:9" x14ac:dyDescent="0.25">
      <c r="A90" s="95"/>
      <c r="B90" s="95"/>
      <c r="C90" s="96">
        <v>4</v>
      </c>
      <c r="D90" s="97" t="s">
        <v>1350</v>
      </c>
      <c r="E90" s="223">
        <v>4967000</v>
      </c>
      <c r="F90" s="170">
        <v>67667.5</v>
      </c>
      <c r="G90" s="171">
        <v>67667.5</v>
      </c>
      <c r="H90" s="172">
        <v>0</v>
      </c>
      <c r="I90" s="196">
        <v>0</v>
      </c>
    </row>
    <row r="91" spans="1:9" ht="15" customHeight="1" x14ac:dyDescent="0.25">
      <c r="C91" s="48">
        <v>15</v>
      </c>
      <c r="D91" s="38" t="s">
        <v>840</v>
      </c>
      <c r="E91" s="94">
        <v>3076000</v>
      </c>
      <c r="F91" s="158">
        <f>538374.89+41915</f>
        <v>580289.89</v>
      </c>
      <c r="G91" s="159">
        <v>0</v>
      </c>
      <c r="H91" s="158">
        <f>538374.89+41915</f>
        <v>580289.89</v>
      </c>
      <c r="I91" s="92">
        <f>13+1</f>
        <v>14</v>
      </c>
    </row>
    <row r="92" spans="1:9" s="95" customFormat="1" ht="15" customHeight="1" x14ac:dyDescent="0.25">
      <c r="C92" s="96">
        <v>29</v>
      </c>
      <c r="D92" s="97" t="s">
        <v>1206</v>
      </c>
      <c r="E92" s="98">
        <v>72278000</v>
      </c>
      <c r="F92" s="170">
        <v>3613900</v>
      </c>
      <c r="G92" s="171">
        <v>0</v>
      </c>
      <c r="H92" s="172" t="s">
        <v>461</v>
      </c>
      <c r="I92" s="196">
        <v>4</v>
      </c>
    </row>
    <row r="93" spans="1:9" x14ac:dyDescent="0.25">
      <c r="C93" s="48">
        <v>4</v>
      </c>
      <c r="D93" s="38" t="s">
        <v>841</v>
      </c>
      <c r="E93" s="94">
        <v>2400000</v>
      </c>
      <c r="F93" s="158">
        <v>32700</v>
      </c>
      <c r="G93" s="159">
        <v>32700</v>
      </c>
      <c r="H93" s="173">
        <v>0</v>
      </c>
      <c r="I93" s="92">
        <v>0</v>
      </c>
    </row>
    <row r="94" spans="1:9" ht="15" customHeight="1" x14ac:dyDescent="0.25">
      <c r="C94" s="48"/>
      <c r="D94" s="38" t="s">
        <v>1075</v>
      </c>
      <c r="E94" s="93">
        <v>9993000</v>
      </c>
      <c r="F94" s="158">
        <f>953137.5+136162.5</f>
        <v>1089300</v>
      </c>
      <c r="G94" s="159">
        <v>0</v>
      </c>
      <c r="H94" s="158">
        <f>953137.5+136162.5</f>
        <v>1089300</v>
      </c>
      <c r="I94" s="92">
        <f>7+1</f>
        <v>8</v>
      </c>
    </row>
    <row r="95" spans="1:9" s="95" customFormat="1" ht="15" customHeight="1" x14ac:dyDescent="0.25">
      <c r="C95" s="96">
        <v>7</v>
      </c>
      <c r="D95" s="97" t="s">
        <v>1323</v>
      </c>
      <c r="E95" s="98">
        <v>825000</v>
      </c>
      <c r="F95" s="170">
        <v>101115</v>
      </c>
      <c r="G95" s="171">
        <v>0</v>
      </c>
      <c r="H95" s="172" t="s">
        <v>461</v>
      </c>
      <c r="I95" s="196">
        <v>9</v>
      </c>
    </row>
    <row r="96" spans="1:9" ht="15" customHeight="1" x14ac:dyDescent="0.25">
      <c r="C96" s="48">
        <v>16</v>
      </c>
      <c r="D96" s="38" t="s">
        <v>842</v>
      </c>
      <c r="E96" s="94">
        <v>80347000</v>
      </c>
      <c r="F96" s="158">
        <v>4017350</v>
      </c>
      <c r="G96" s="173">
        <v>0</v>
      </c>
      <c r="H96" s="173" t="s">
        <v>461</v>
      </c>
      <c r="I96" s="92">
        <v>0</v>
      </c>
    </row>
    <row r="97" spans="1:9" x14ac:dyDescent="0.25">
      <c r="C97" s="48">
        <v>4</v>
      </c>
      <c r="D97" s="38" t="s">
        <v>843</v>
      </c>
      <c r="E97" s="94">
        <v>6800000</v>
      </c>
      <c r="F97" s="158">
        <f>935000+85000</f>
        <v>1020000</v>
      </c>
      <c r="G97" s="159">
        <v>170000</v>
      </c>
      <c r="H97" s="173">
        <f>765000+85000</f>
        <v>850000</v>
      </c>
      <c r="I97" s="92">
        <f>9+1</f>
        <v>10</v>
      </c>
    </row>
    <row r="98" spans="1:9" ht="15" customHeight="1" x14ac:dyDescent="0.25">
      <c r="C98" s="48">
        <v>15</v>
      </c>
      <c r="D98" s="38" t="s">
        <v>1076</v>
      </c>
      <c r="E98" s="93">
        <v>12895000</v>
      </c>
      <c r="F98" s="158">
        <f>1128312.5+161187.5</f>
        <v>1289500</v>
      </c>
      <c r="G98" s="159">
        <v>0</v>
      </c>
      <c r="H98" s="158">
        <f>1128312.5+161187.5</f>
        <v>1289500</v>
      </c>
      <c r="I98" s="92">
        <f>7+1</f>
        <v>8</v>
      </c>
    </row>
    <row r="99" spans="1:9" s="95" customFormat="1" x14ac:dyDescent="0.25">
      <c r="C99" s="96" t="s">
        <v>1290</v>
      </c>
      <c r="D99" s="97" t="s">
        <v>1286</v>
      </c>
      <c r="E99" s="98">
        <v>7000000</v>
      </c>
      <c r="F99" s="170">
        <v>372320</v>
      </c>
      <c r="G99" s="171">
        <v>372320</v>
      </c>
      <c r="H99" s="172">
        <v>0</v>
      </c>
      <c r="I99" s="196">
        <v>0</v>
      </c>
    </row>
    <row r="100" spans="1:9" s="95" customFormat="1" x14ac:dyDescent="0.25">
      <c r="C100" s="96" t="s">
        <v>1168</v>
      </c>
      <c r="D100" s="97" t="s">
        <v>1246</v>
      </c>
      <c r="E100" s="98">
        <v>40000000</v>
      </c>
      <c r="F100" s="170">
        <v>3500000</v>
      </c>
      <c r="G100" s="171">
        <v>3500000</v>
      </c>
      <c r="H100" s="172">
        <v>0</v>
      </c>
      <c r="I100" s="196">
        <v>0</v>
      </c>
    </row>
    <row r="101" spans="1:9" ht="15" customHeight="1" x14ac:dyDescent="0.25">
      <c r="C101" s="49" t="s">
        <v>1254</v>
      </c>
      <c r="D101" s="38" t="s">
        <v>844</v>
      </c>
      <c r="E101" s="94">
        <v>21000000</v>
      </c>
      <c r="F101" s="158">
        <v>2362500</v>
      </c>
      <c r="G101" s="158">
        <v>2362500</v>
      </c>
      <c r="H101" s="173">
        <v>0</v>
      </c>
      <c r="I101" s="92">
        <v>0</v>
      </c>
    </row>
    <row r="102" spans="1:9" ht="15" customHeight="1" x14ac:dyDescent="0.25">
      <c r="C102" s="48"/>
      <c r="D102" s="38" t="s">
        <v>1077</v>
      </c>
      <c r="E102" s="93">
        <v>6700000</v>
      </c>
      <c r="F102" s="158">
        <f>639012.5+91287.5</f>
        <v>730300</v>
      </c>
      <c r="G102" s="159">
        <v>0</v>
      </c>
      <c r="H102" s="158">
        <f>639012.5+91287.5</f>
        <v>730300</v>
      </c>
      <c r="I102" s="92">
        <f>7+1</f>
        <v>8</v>
      </c>
    </row>
    <row r="103" spans="1:9" ht="15" customHeight="1" x14ac:dyDescent="0.25">
      <c r="A103" s="282"/>
      <c r="C103" s="96">
        <v>4</v>
      </c>
      <c r="D103" s="97" t="s">
        <v>1349</v>
      </c>
      <c r="E103" s="98">
        <v>10000000</v>
      </c>
      <c r="F103" s="170">
        <v>800490</v>
      </c>
      <c r="G103" s="171">
        <v>800490</v>
      </c>
      <c r="H103" s="172">
        <v>0</v>
      </c>
      <c r="I103" s="196">
        <v>0</v>
      </c>
    </row>
    <row r="104" spans="1:9" ht="15" customHeight="1" x14ac:dyDescent="0.25">
      <c r="A104" s="282"/>
      <c r="C104" s="48">
        <v>15</v>
      </c>
      <c r="D104" s="220" t="s">
        <v>1078</v>
      </c>
      <c r="E104" s="99">
        <v>26000000</v>
      </c>
      <c r="F104" s="158">
        <f>2275000+325000</f>
        <v>2600000</v>
      </c>
      <c r="G104" s="159">
        <v>0</v>
      </c>
      <c r="H104" s="158">
        <f>2275000+325000</f>
        <v>2600000</v>
      </c>
      <c r="I104" s="92">
        <f>7+1</f>
        <v>8</v>
      </c>
    </row>
    <row r="105" spans="1:9" x14ac:dyDescent="0.25">
      <c r="C105" s="48">
        <v>4</v>
      </c>
      <c r="D105" s="38" t="s">
        <v>845</v>
      </c>
      <c r="E105" s="94">
        <v>5976000</v>
      </c>
      <c r="F105" s="158">
        <f>128588.25+78727.5</f>
        <v>207315.75</v>
      </c>
      <c r="G105" s="159">
        <v>128588.25</v>
      </c>
      <c r="H105" s="173">
        <v>78727.5</v>
      </c>
      <c r="I105" s="92">
        <f>0+1</f>
        <v>1</v>
      </c>
    </row>
    <row r="106" spans="1:9" ht="15" customHeight="1" x14ac:dyDescent="0.25">
      <c r="C106" s="48">
        <v>15</v>
      </c>
      <c r="D106" s="38" t="s">
        <v>846</v>
      </c>
      <c r="E106" s="94">
        <v>6900000</v>
      </c>
      <c r="F106" s="158">
        <f>1222162.5+94012.5</f>
        <v>1316175</v>
      </c>
      <c r="G106" s="159">
        <v>0</v>
      </c>
      <c r="H106" s="158">
        <f>1222162.5+94012.5</f>
        <v>1316175</v>
      </c>
      <c r="I106" s="92">
        <f>13+1</f>
        <v>14</v>
      </c>
    </row>
    <row r="107" spans="1:9" x14ac:dyDescent="0.25">
      <c r="C107" s="49" t="s">
        <v>1144</v>
      </c>
      <c r="D107" s="38" t="s">
        <v>847</v>
      </c>
      <c r="E107" s="94">
        <v>72000000</v>
      </c>
      <c r="F107" s="158">
        <f>10472696.39+930325</f>
        <v>11403021.390000001</v>
      </c>
      <c r="G107" s="159">
        <v>1800000</v>
      </c>
      <c r="H107" s="173">
        <f>8672696.39+930325</f>
        <v>9603021.3900000006</v>
      </c>
      <c r="I107" s="92">
        <f>10+1</f>
        <v>11</v>
      </c>
    </row>
    <row r="108" spans="1:9" x14ac:dyDescent="0.25">
      <c r="C108" s="49"/>
      <c r="D108" s="37" t="s">
        <v>1176</v>
      </c>
      <c r="E108" s="94">
        <v>1312000</v>
      </c>
      <c r="F108" s="158">
        <f>71540+17885</f>
        <v>89425</v>
      </c>
      <c r="G108" s="159">
        <v>0</v>
      </c>
      <c r="H108" s="158">
        <f>71540+17885</f>
        <v>89425</v>
      </c>
      <c r="I108" s="92">
        <f>4+1</f>
        <v>5</v>
      </c>
    </row>
    <row r="109" spans="1:9" s="95" customFormat="1" ht="15" customHeight="1" x14ac:dyDescent="0.25">
      <c r="C109" s="96">
        <v>7</v>
      </c>
      <c r="D109" s="97" t="s">
        <v>1207</v>
      </c>
      <c r="E109" s="98">
        <v>83586000</v>
      </c>
      <c r="F109" s="170">
        <v>7313775</v>
      </c>
      <c r="G109" s="171">
        <v>0</v>
      </c>
      <c r="H109" s="172" t="s">
        <v>461</v>
      </c>
      <c r="I109" s="196">
        <v>7</v>
      </c>
    </row>
    <row r="110" spans="1:9" ht="15" customHeight="1" x14ac:dyDescent="0.25">
      <c r="C110" s="48">
        <v>37</v>
      </c>
      <c r="D110" s="38" t="s">
        <v>848</v>
      </c>
      <c r="E110" s="94">
        <v>27000000</v>
      </c>
      <c r="F110" s="158">
        <f>3712500+337500</f>
        <v>4050000</v>
      </c>
      <c r="G110" s="159">
        <v>4050000</v>
      </c>
      <c r="H110" s="158">
        <v>0</v>
      </c>
      <c r="I110" s="92">
        <v>0</v>
      </c>
    </row>
    <row r="111" spans="1:9" ht="15" customHeight="1" x14ac:dyDescent="0.25">
      <c r="C111" s="48">
        <v>28</v>
      </c>
      <c r="D111" s="38" t="s">
        <v>849</v>
      </c>
      <c r="E111" s="94">
        <v>25000000</v>
      </c>
      <c r="F111" s="158">
        <f>3437500+312500</f>
        <v>3750000</v>
      </c>
      <c r="G111" s="159">
        <v>0</v>
      </c>
      <c r="H111" s="158">
        <f>3437500+312500</f>
        <v>3750000</v>
      </c>
      <c r="I111" s="92">
        <f>11+1</f>
        <v>12</v>
      </c>
    </row>
    <row r="112" spans="1:9" s="95" customFormat="1" ht="15" customHeight="1" x14ac:dyDescent="0.25">
      <c r="C112" s="96">
        <v>7</v>
      </c>
      <c r="D112" s="97" t="s">
        <v>1208</v>
      </c>
      <c r="E112" s="98">
        <v>5498000</v>
      </c>
      <c r="F112" s="170">
        <v>206175</v>
      </c>
      <c r="G112" s="171">
        <v>0</v>
      </c>
      <c r="H112" s="172" t="s">
        <v>461</v>
      </c>
      <c r="I112" s="196">
        <v>3</v>
      </c>
    </row>
    <row r="113" spans="1:9" ht="15" customHeight="1" x14ac:dyDescent="0.25">
      <c r="C113" s="48">
        <v>15</v>
      </c>
      <c r="D113" s="38" t="s">
        <v>1031</v>
      </c>
      <c r="E113" s="94">
        <v>17280000</v>
      </c>
      <c r="F113" s="158">
        <f>1883520+235440</f>
        <v>2118960</v>
      </c>
      <c r="G113" s="159">
        <v>0</v>
      </c>
      <c r="H113" s="158">
        <f>1883520+235440</f>
        <v>2118960</v>
      </c>
      <c r="I113" s="92">
        <f>8+1</f>
        <v>9</v>
      </c>
    </row>
    <row r="114" spans="1:9" ht="15" customHeight="1" x14ac:dyDescent="0.25">
      <c r="C114" s="48"/>
      <c r="D114" s="38" t="s">
        <v>850</v>
      </c>
      <c r="E114" s="94">
        <v>3370000</v>
      </c>
      <c r="F114" s="158">
        <f>459275+45927.5</f>
        <v>505202.5</v>
      </c>
      <c r="G114" s="159">
        <v>0</v>
      </c>
      <c r="H114" s="158">
        <f>459275+45927.5</f>
        <v>505202.5</v>
      </c>
      <c r="I114" s="92">
        <f>10+1</f>
        <v>11</v>
      </c>
    </row>
    <row r="115" spans="1:9" ht="15" customHeight="1" x14ac:dyDescent="0.25">
      <c r="C115" s="48"/>
      <c r="D115" s="38" t="s">
        <v>934</v>
      </c>
      <c r="E115" s="94">
        <v>2060000</v>
      </c>
      <c r="F115" s="158">
        <f>252607.5+28067.5</f>
        <v>280675</v>
      </c>
      <c r="G115" s="159">
        <v>0</v>
      </c>
      <c r="H115" s="158">
        <f>252607.5+28067.5</f>
        <v>280675</v>
      </c>
      <c r="I115" s="92">
        <f>9+1</f>
        <v>10</v>
      </c>
    </row>
    <row r="116" spans="1:9" s="95" customFormat="1" ht="15" customHeight="1" x14ac:dyDescent="0.25">
      <c r="C116" s="96" t="s">
        <v>1168</v>
      </c>
      <c r="D116" s="97" t="s">
        <v>1282</v>
      </c>
      <c r="E116" s="98">
        <v>21000000</v>
      </c>
      <c r="F116" s="170">
        <v>1312500</v>
      </c>
      <c r="G116" s="171">
        <v>1312500</v>
      </c>
      <c r="H116" s="172">
        <v>0</v>
      </c>
      <c r="I116" s="196">
        <v>0</v>
      </c>
    </row>
    <row r="117" spans="1:9" s="95" customFormat="1" x14ac:dyDescent="0.25">
      <c r="C117" s="96" t="s">
        <v>1291</v>
      </c>
      <c r="D117" s="97" t="s">
        <v>1287</v>
      </c>
      <c r="E117" s="98">
        <v>45000000</v>
      </c>
      <c r="F117" s="170">
        <v>2250000</v>
      </c>
      <c r="G117" s="171">
        <v>2250000</v>
      </c>
      <c r="H117" s="172">
        <v>0</v>
      </c>
      <c r="I117" s="196">
        <v>0</v>
      </c>
    </row>
    <row r="118" spans="1:9" x14ac:dyDescent="0.25">
      <c r="A118" s="282"/>
      <c r="C118" s="49" t="s">
        <v>1293</v>
      </c>
      <c r="D118" s="37" t="s">
        <v>1294</v>
      </c>
      <c r="E118" s="94">
        <v>71526000</v>
      </c>
      <c r="F118" s="158">
        <f>9078132.5+1119005</f>
        <v>10197137.5</v>
      </c>
      <c r="G118" s="159">
        <v>2923605</v>
      </c>
      <c r="H118" s="173">
        <f>6154527.5+1119005</f>
        <v>7273532.5</v>
      </c>
      <c r="I118" s="92">
        <f>6+1</f>
        <v>7</v>
      </c>
    </row>
    <row r="119" spans="1:9" ht="15" customHeight="1" x14ac:dyDescent="0.25">
      <c r="C119" s="48">
        <v>15</v>
      </c>
      <c r="D119" s="38" t="s">
        <v>1127</v>
      </c>
      <c r="E119" s="94">
        <v>10000000</v>
      </c>
      <c r="F119" s="158">
        <f>817500+136250</f>
        <v>953750</v>
      </c>
      <c r="G119" s="221">
        <v>0</v>
      </c>
      <c r="H119" s="158">
        <f>817500+136250</f>
        <v>953750</v>
      </c>
      <c r="I119" s="92">
        <f>6+1</f>
        <v>7</v>
      </c>
    </row>
    <row r="120" spans="1:9" s="95" customFormat="1" x14ac:dyDescent="0.25">
      <c r="C120" s="96" t="s">
        <v>913</v>
      </c>
      <c r="D120" s="97" t="s">
        <v>1209</v>
      </c>
      <c r="E120" s="98">
        <v>84784000</v>
      </c>
      <c r="F120" s="170">
        <v>4239200</v>
      </c>
      <c r="G120" s="170">
        <v>4239200</v>
      </c>
      <c r="H120" s="172">
        <v>0</v>
      </c>
      <c r="I120" s="196">
        <v>0</v>
      </c>
    </row>
    <row r="121" spans="1:9" s="95" customFormat="1" x14ac:dyDescent="0.25">
      <c r="C121" s="96" t="s">
        <v>1308</v>
      </c>
      <c r="D121" s="97" t="s">
        <v>1306</v>
      </c>
      <c r="E121" s="98">
        <v>7260000</v>
      </c>
      <c r="F121" s="170">
        <v>989175</v>
      </c>
      <c r="G121" s="171">
        <v>989175</v>
      </c>
      <c r="H121" s="172">
        <v>0</v>
      </c>
      <c r="I121" s="196">
        <v>0</v>
      </c>
    </row>
    <row r="122" spans="1:9" s="95" customFormat="1" ht="15" customHeight="1" x14ac:dyDescent="0.25">
      <c r="C122" s="96"/>
      <c r="D122" s="272" t="s">
        <v>1386</v>
      </c>
      <c r="E122" s="226">
        <v>1834000</v>
      </c>
      <c r="F122" s="170">
        <f>174965+24995</f>
        <v>199960</v>
      </c>
      <c r="G122" s="171">
        <v>199960</v>
      </c>
      <c r="H122" s="170">
        <v>0</v>
      </c>
      <c r="I122" s="196">
        <v>0</v>
      </c>
    </row>
    <row r="123" spans="1:9" s="95" customFormat="1" ht="15" customHeight="1" x14ac:dyDescent="0.25">
      <c r="A123" s="65"/>
      <c r="C123" s="48"/>
      <c r="D123" s="38" t="s">
        <v>851</v>
      </c>
      <c r="E123" s="94">
        <v>6785000</v>
      </c>
      <c r="F123" s="158">
        <f>932937.5+84812.5</f>
        <v>1017750</v>
      </c>
      <c r="G123" s="159">
        <v>0</v>
      </c>
      <c r="H123" s="158">
        <f>932937.5+84812.5</f>
        <v>1017750</v>
      </c>
      <c r="I123" s="92">
        <f>11+1</f>
        <v>12</v>
      </c>
    </row>
    <row r="124" spans="1:9" s="95" customFormat="1" ht="15" customHeight="1" x14ac:dyDescent="0.25">
      <c r="C124" s="96" t="s">
        <v>1168</v>
      </c>
      <c r="D124" s="97" t="s">
        <v>1210</v>
      </c>
      <c r="E124" s="98">
        <v>7723000</v>
      </c>
      <c r="F124" s="170">
        <v>526112.5</v>
      </c>
      <c r="G124" s="171">
        <v>526112.5</v>
      </c>
      <c r="H124" s="172">
        <v>0</v>
      </c>
      <c r="I124" s="196">
        <v>0</v>
      </c>
    </row>
    <row r="125" spans="1:9" s="95" customFormat="1" ht="15" customHeight="1" x14ac:dyDescent="0.25">
      <c r="C125" s="96">
        <v>47</v>
      </c>
      <c r="D125" s="222" t="s">
        <v>1315</v>
      </c>
      <c r="E125" s="223">
        <v>4000000</v>
      </c>
      <c r="F125" s="170">
        <v>327000</v>
      </c>
      <c r="G125" s="171">
        <v>0</v>
      </c>
      <c r="H125" s="172" t="s">
        <v>461</v>
      </c>
      <c r="I125" s="196">
        <v>6</v>
      </c>
    </row>
    <row r="126" spans="1:9" ht="15" customHeight="1" x14ac:dyDescent="0.25">
      <c r="C126" s="48">
        <v>15</v>
      </c>
      <c r="D126" s="224" t="s">
        <v>1079</v>
      </c>
      <c r="E126" s="93">
        <v>24664000</v>
      </c>
      <c r="F126" s="158">
        <f>2352297.5+336042.5</f>
        <v>2688340</v>
      </c>
      <c r="G126" s="159">
        <v>0</v>
      </c>
      <c r="H126" s="158">
        <f>2352297.5+336042.5</f>
        <v>2688340</v>
      </c>
      <c r="I126" s="92">
        <f>7+1</f>
        <v>8</v>
      </c>
    </row>
    <row r="127" spans="1:9" ht="15" customHeight="1" x14ac:dyDescent="0.25">
      <c r="C127" s="48">
        <v>15</v>
      </c>
      <c r="D127" s="224" t="s">
        <v>1151</v>
      </c>
      <c r="E127" s="93">
        <v>10000000</v>
      </c>
      <c r="F127" s="158">
        <f>681250+136250</f>
        <v>817500</v>
      </c>
      <c r="G127" s="159">
        <v>0</v>
      </c>
      <c r="H127" s="158">
        <f>681250+136250</f>
        <v>817500</v>
      </c>
      <c r="I127" s="92">
        <f>5+1</f>
        <v>6</v>
      </c>
    </row>
    <row r="128" spans="1:9" s="95" customFormat="1" x14ac:dyDescent="0.25">
      <c r="C128" s="96" t="s">
        <v>1168</v>
      </c>
      <c r="D128" s="97" t="s">
        <v>1369</v>
      </c>
      <c r="E128" s="98">
        <v>4227000</v>
      </c>
      <c r="F128" s="170">
        <v>52837.5</v>
      </c>
      <c r="G128" s="171">
        <v>52837.5</v>
      </c>
      <c r="H128" s="172">
        <v>0</v>
      </c>
      <c r="I128" s="196">
        <v>0</v>
      </c>
    </row>
    <row r="129" spans="1:9" ht="15" customHeight="1" x14ac:dyDescent="0.25">
      <c r="C129" s="48" t="s">
        <v>1391</v>
      </c>
      <c r="D129" s="38" t="s">
        <v>852</v>
      </c>
      <c r="E129" s="94">
        <v>17211000</v>
      </c>
      <c r="F129" s="158">
        <f>2581650+215137.5</f>
        <v>2796787.5</v>
      </c>
      <c r="G129" s="159">
        <v>0</v>
      </c>
      <c r="H129" s="158">
        <f>2581650+215137.5</f>
        <v>2796787.5</v>
      </c>
      <c r="I129" s="92">
        <f>12+1</f>
        <v>13</v>
      </c>
    </row>
    <row r="130" spans="1:9" ht="15" customHeight="1" x14ac:dyDescent="0.25">
      <c r="C130" s="48">
        <v>15</v>
      </c>
      <c r="D130" s="38" t="s">
        <v>853</v>
      </c>
      <c r="E130" s="94">
        <v>10500000</v>
      </c>
      <c r="F130" s="158">
        <f>1430625+143062.5</f>
        <v>1573687.5</v>
      </c>
      <c r="G130" s="159">
        <v>0</v>
      </c>
      <c r="H130" s="158">
        <f>1430625+143062.5</f>
        <v>1573687.5</v>
      </c>
      <c r="I130" s="92">
        <f>10+1</f>
        <v>11</v>
      </c>
    </row>
    <row r="131" spans="1:9" ht="15" customHeight="1" x14ac:dyDescent="0.25">
      <c r="C131" s="48">
        <v>15</v>
      </c>
      <c r="D131" s="38" t="s">
        <v>1032</v>
      </c>
      <c r="E131" s="94">
        <v>73000000</v>
      </c>
      <c r="F131" s="158">
        <f>7300000+912500</f>
        <v>8212500</v>
      </c>
      <c r="G131" s="159">
        <v>0</v>
      </c>
      <c r="H131" s="158">
        <f>7300000+912500</f>
        <v>8212500</v>
      </c>
      <c r="I131" s="92">
        <f>8+1</f>
        <v>9</v>
      </c>
    </row>
    <row r="132" spans="1:9" ht="15" customHeight="1" x14ac:dyDescent="0.25">
      <c r="C132" s="48">
        <v>37</v>
      </c>
      <c r="D132" s="38" t="s">
        <v>854</v>
      </c>
      <c r="E132" s="94">
        <v>2816000</v>
      </c>
      <c r="F132" s="158">
        <f>460470+38372.5</f>
        <v>498842.5</v>
      </c>
      <c r="G132" s="159">
        <v>0</v>
      </c>
      <c r="H132" s="158">
        <f>460470+38372.5</f>
        <v>498842.5</v>
      </c>
      <c r="I132" s="92">
        <f>12+1</f>
        <v>13</v>
      </c>
    </row>
    <row r="133" spans="1:9" s="95" customFormat="1" x14ac:dyDescent="0.25">
      <c r="C133" s="96" t="s">
        <v>1052</v>
      </c>
      <c r="D133" s="97" t="s">
        <v>1371</v>
      </c>
      <c r="E133" s="98">
        <v>180634000</v>
      </c>
      <c r="F133" s="170">
        <v>13547550</v>
      </c>
      <c r="G133" s="171">
        <v>13547550</v>
      </c>
      <c r="H133" s="172">
        <v>0</v>
      </c>
      <c r="I133" s="196">
        <v>0</v>
      </c>
    </row>
    <row r="134" spans="1:9" ht="15" customHeight="1" x14ac:dyDescent="0.25">
      <c r="C134" s="48"/>
      <c r="D134" s="38" t="s">
        <v>855</v>
      </c>
      <c r="E134" s="94">
        <v>16200000</v>
      </c>
      <c r="F134" s="158">
        <f>2869425+220725</f>
        <v>3090150</v>
      </c>
      <c r="G134" s="159">
        <v>0</v>
      </c>
      <c r="H134" s="158">
        <f>2869425+220725</f>
        <v>3090150</v>
      </c>
      <c r="I134" s="92">
        <f>13+1</f>
        <v>14</v>
      </c>
    </row>
    <row r="135" spans="1:9" s="95" customFormat="1" ht="15" customHeight="1" x14ac:dyDescent="0.25">
      <c r="C135" s="96" t="s">
        <v>664</v>
      </c>
      <c r="D135" s="97" t="s">
        <v>1211</v>
      </c>
      <c r="E135" s="98">
        <v>4120000</v>
      </c>
      <c r="F135" s="170">
        <v>112270</v>
      </c>
      <c r="G135" s="171">
        <v>0</v>
      </c>
      <c r="H135" s="172" t="s">
        <v>461</v>
      </c>
      <c r="I135" s="196">
        <v>2</v>
      </c>
    </row>
    <row r="136" spans="1:9" ht="15" customHeight="1" x14ac:dyDescent="0.25">
      <c r="A136" s="282"/>
      <c r="C136" s="48">
        <v>37</v>
      </c>
      <c r="D136" s="38" t="s">
        <v>856</v>
      </c>
      <c r="E136" s="94">
        <v>6500000</v>
      </c>
      <c r="F136" s="158">
        <f>731250+81250</f>
        <v>812500</v>
      </c>
      <c r="G136" s="159">
        <v>0</v>
      </c>
      <c r="H136" s="158">
        <f>731250+81250</f>
        <v>812500</v>
      </c>
      <c r="I136" s="92">
        <f>9+1</f>
        <v>10</v>
      </c>
    </row>
    <row r="137" spans="1:9" ht="15" customHeight="1" x14ac:dyDescent="0.25">
      <c r="C137" s="48"/>
      <c r="D137" s="38" t="s">
        <v>857</v>
      </c>
      <c r="E137" s="94">
        <v>6000000</v>
      </c>
      <c r="F137" s="158">
        <f>817500+81750</f>
        <v>899250</v>
      </c>
      <c r="G137" s="159">
        <v>0</v>
      </c>
      <c r="H137" s="158">
        <f>817500+81750</f>
        <v>899250</v>
      </c>
      <c r="I137" s="92">
        <f>10+1</f>
        <v>11</v>
      </c>
    </row>
    <row r="138" spans="1:9" ht="15" customHeight="1" x14ac:dyDescent="0.25">
      <c r="C138" s="48"/>
      <c r="D138" s="38" t="s">
        <v>858</v>
      </c>
      <c r="E138" s="94">
        <v>3727000</v>
      </c>
      <c r="F138" s="158">
        <f>609270+50772.5</f>
        <v>660042.5</v>
      </c>
      <c r="G138" s="159">
        <v>0</v>
      </c>
      <c r="H138" s="158">
        <f>609270+50772.5</f>
        <v>660042.5</v>
      </c>
      <c r="I138" s="92">
        <f>12+1</f>
        <v>13</v>
      </c>
    </row>
    <row r="139" spans="1:9" ht="15" customHeight="1" x14ac:dyDescent="0.25">
      <c r="C139" s="48">
        <v>15</v>
      </c>
      <c r="D139" s="38" t="s">
        <v>1081</v>
      </c>
      <c r="E139" s="94">
        <v>26038000</v>
      </c>
      <c r="F139" s="158">
        <f>2483390+354770</f>
        <v>2838160</v>
      </c>
      <c r="G139" s="159">
        <v>0</v>
      </c>
      <c r="H139" s="158">
        <f>2483390+354770</f>
        <v>2838160</v>
      </c>
      <c r="I139" s="92">
        <f>7+1</f>
        <v>8</v>
      </c>
    </row>
    <row r="140" spans="1:9" ht="15" customHeight="1" x14ac:dyDescent="0.25">
      <c r="A140" s="282"/>
      <c r="C140" s="48">
        <v>4</v>
      </c>
      <c r="D140" s="38" t="s">
        <v>859</v>
      </c>
      <c r="E140" s="94">
        <v>3690000</v>
      </c>
      <c r="F140" s="158">
        <v>201150</v>
      </c>
      <c r="G140" s="159">
        <v>201150</v>
      </c>
      <c r="H140" s="173">
        <v>0</v>
      </c>
      <c r="I140" s="92">
        <v>0</v>
      </c>
    </row>
    <row r="141" spans="1:9" x14ac:dyDescent="0.25">
      <c r="C141" s="48">
        <v>4</v>
      </c>
      <c r="D141" s="38" t="s">
        <v>860</v>
      </c>
      <c r="E141" s="94">
        <v>6000000</v>
      </c>
      <c r="F141" s="158">
        <v>312500</v>
      </c>
      <c r="G141" s="159">
        <v>312500</v>
      </c>
      <c r="H141" s="173">
        <v>0</v>
      </c>
      <c r="I141" s="92">
        <v>0</v>
      </c>
    </row>
    <row r="142" spans="1:9" s="95" customFormat="1" ht="15" customHeight="1" x14ac:dyDescent="0.25">
      <c r="C142" s="96">
        <v>7</v>
      </c>
      <c r="D142" s="97" t="s">
        <v>1212</v>
      </c>
      <c r="E142" s="98">
        <v>6800000</v>
      </c>
      <c r="F142" s="170">
        <v>370600</v>
      </c>
      <c r="G142" s="170">
        <v>0</v>
      </c>
      <c r="H142" s="172" t="s">
        <v>461</v>
      </c>
      <c r="I142" s="196">
        <v>4</v>
      </c>
    </row>
    <row r="143" spans="1:9" ht="15" customHeight="1" x14ac:dyDescent="0.25">
      <c r="A143" s="282"/>
      <c r="C143" s="48"/>
      <c r="D143" s="38" t="s">
        <v>935</v>
      </c>
      <c r="E143" s="94">
        <v>4389000</v>
      </c>
      <c r="F143" s="158">
        <f>538110+59790</f>
        <v>597900</v>
      </c>
      <c r="G143" s="159">
        <v>0</v>
      </c>
      <c r="H143" s="158">
        <f>538110+59790</f>
        <v>597900</v>
      </c>
      <c r="I143" s="92">
        <f>9+1</f>
        <v>10</v>
      </c>
    </row>
    <row r="144" spans="1:9" ht="15" customHeight="1" x14ac:dyDescent="0.25">
      <c r="C144" s="48">
        <v>15</v>
      </c>
      <c r="D144" s="38" t="s">
        <v>861</v>
      </c>
      <c r="E144" s="94">
        <v>11949000</v>
      </c>
      <c r="F144" s="158">
        <f>1493625+149362.5</f>
        <v>1642987.5</v>
      </c>
      <c r="G144" s="159">
        <v>0</v>
      </c>
      <c r="H144" s="158">
        <f>1493625+149362.5</f>
        <v>1642987.5</v>
      </c>
      <c r="I144" s="92">
        <f>10+1</f>
        <v>11</v>
      </c>
    </row>
    <row r="145" spans="1:9" ht="15" customHeight="1" x14ac:dyDescent="0.25">
      <c r="C145" s="48"/>
      <c r="D145" s="37" t="s">
        <v>1174</v>
      </c>
      <c r="E145" s="94">
        <v>35000000</v>
      </c>
      <c r="F145" s="158">
        <f>1750000+437500</f>
        <v>2187500</v>
      </c>
      <c r="G145" s="159">
        <v>0</v>
      </c>
      <c r="H145" s="158">
        <f>1750000+437500</f>
        <v>2187500</v>
      </c>
      <c r="I145" s="92">
        <f>4+1</f>
        <v>5</v>
      </c>
    </row>
    <row r="146" spans="1:9" ht="15" customHeight="1" x14ac:dyDescent="0.25">
      <c r="C146" s="48"/>
      <c r="D146" s="38" t="s">
        <v>862</v>
      </c>
      <c r="E146" s="94">
        <v>2800000</v>
      </c>
      <c r="F146" s="158">
        <f>381500+38150</f>
        <v>419650</v>
      </c>
      <c r="G146" s="159">
        <v>0</v>
      </c>
      <c r="H146" s="158">
        <f>381500+38150</f>
        <v>419650</v>
      </c>
      <c r="I146" s="92">
        <f>10+1</f>
        <v>11</v>
      </c>
    </row>
    <row r="147" spans="1:9" ht="15" customHeight="1" x14ac:dyDescent="0.25">
      <c r="C147" s="48"/>
      <c r="D147" s="38" t="s">
        <v>863</v>
      </c>
      <c r="E147" s="94">
        <v>9500000</v>
      </c>
      <c r="F147" s="158">
        <f>1294375+129437.5</f>
        <v>1423812.5</v>
      </c>
      <c r="G147" s="159">
        <v>0</v>
      </c>
      <c r="H147" s="158">
        <f>1294375+129437.5</f>
        <v>1423812.5</v>
      </c>
      <c r="I147" s="92">
        <f>10+1</f>
        <v>11</v>
      </c>
    </row>
    <row r="148" spans="1:9" s="95" customFormat="1" x14ac:dyDescent="0.25">
      <c r="C148" s="96" t="s">
        <v>1311</v>
      </c>
      <c r="D148" s="97" t="s">
        <v>1316</v>
      </c>
      <c r="E148" s="98">
        <v>22252000</v>
      </c>
      <c r="F148" s="170">
        <v>556300</v>
      </c>
      <c r="G148" s="171">
        <v>556300</v>
      </c>
      <c r="H148" s="172">
        <v>0</v>
      </c>
      <c r="I148" s="196">
        <v>0</v>
      </c>
    </row>
    <row r="149" spans="1:9" ht="15" customHeight="1" x14ac:dyDescent="0.25">
      <c r="C149" s="48">
        <v>28</v>
      </c>
      <c r="D149" s="38" t="s">
        <v>864</v>
      </c>
      <c r="E149" s="94">
        <v>41400000</v>
      </c>
      <c r="F149" s="158">
        <f>6210000+517500</f>
        <v>6727500</v>
      </c>
      <c r="G149" s="159">
        <v>0</v>
      </c>
      <c r="H149" s="158">
        <f>6210000+517500</f>
        <v>6727500</v>
      </c>
      <c r="I149" s="92">
        <f>12+1</f>
        <v>13</v>
      </c>
    </row>
    <row r="150" spans="1:9" ht="15" customHeight="1" x14ac:dyDescent="0.25">
      <c r="C150" s="96" t="s">
        <v>1374</v>
      </c>
      <c r="D150" s="97" t="s">
        <v>1375</v>
      </c>
      <c r="E150" s="223">
        <v>25083000</v>
      </c>
      <c r="F150" s="170">
        <v>2194762.5</v>
      </c>
      <c r="G150" s="171">
        <v>0</v>
      </c>
      <c r="H150" s="172" t="s">
        <v>461</v>
      </c>
      <c r="I150" s="196">
        <v>7</v>
      </c>
    </row>
    <row r="151" spans="1:9" ht="15" customHeight="1" x14ac:dyDescent="0.25">
      <c r="C151" s="48"/>
      <c r="D151" s="38" t="s">
        <v>1082</v>
      </c>
      <c r="E151" s="94">
        <v>8222000</v>
      </c>
      <c r="F151" s="158">
        <f>866840+108355</f>
        <v>975195</v>
      </c>
      <c r="G151" s="159">
        <v>0</v>
      </c>
      <c r="H151" s="158">
        <f>866840+108355</f>
        <v>975195</v>
      </c>
      <c r="I151" s="92">
        <f>8+1</f>
        <v>9</v>
      </c>
    </row>
    <row r="152" spans="1:9" s="95" customFormat="1" ht="15" customHeight="1" x14ac:dyDescent="0.25">
      <c r="A152" s="65"/>
      <c r="C152" s="48"/>
      <c r="D152" s="38" t="s">
        <v>936</v>
      </c>
      <c r="E152" s="94">
        <v>9266000</v>
      </c>
      <c r="F152" s="158">
        <f>1042425+115825</f>
        <v>1158250</v>
      </c>
      <c r="G152" s="159">
        <v>0</v>
      </c>
      <c r="H152" s="158">
        <f>1042425+115825</f>
        <v>1158250</v>
      </c>
      <c r="I152" s="92">
        <f>9+1</f>
        <v>10</v>
      </c>
    </row>
    <row r="153" spans="1:9" ht="15" customHeight="1" x14ac:dyDescent="0.25">
      <c r="C153" s="48"/>
      <c r="D153" s="38" t="s">
        <v>1152</v>
      </c>
      <c r="E153" s="94">
        <v>8900000</v>
      </c>
      <c r="F153" s="158">
        <f>586400+117280</f>
        <v>703680</v>
      </c>
      <c r="G153" s="159">
        <v>0</v>
      </c>
      <c r="H153" s="158">
        <f>586400+117280</f>
        <v>703680</v>
      </c>
      <c r="I153" s="92">
        <f>5+1</f>
        <v>6</v>
      </c>
    </row>
    <row r="154" spans="1:9" s="95" customFormat="1" x14ac:dyDescent="0.25">
      <c r="C154" s="96" t="s">
        <v>1168</v>
      </c>
      <c r="D154" s="97" t="s">
        <v>1213</v>
      </c>
      <c r="E154" s="98">
        <v>3800000</v>
      </c>
      <c r="F154" s="170">
        <v>51775</v>
      </c>
      <c r="G154" s="171">
        <v>51775</v>
      </c>
      <c r="H154" s="172">
        <v>0</v>
      </c>
      <c r="I154" s="196">
        <v>0</v>
      </c>
    </row>
    <row r="155" spans="1:9" x14ac:dyDescent="0.25">
      <c r="A155" s="282"/>
      <c r="C155" s="48">
        <v>4</v>
      </c>
      <c r="D155" s="38" t="s">
        <v>865</v>
      </c>
      <c r="E155" s="94">
        <v>9982000</v>
      </c>
      <c r="F155" s="158">
        <f>1224022.5+136002.5</f>
        <v>1360025</v>
      </c>
      <c r="G155" s="159">
        <v>136002.5</v>
      </c>
      <c r="H155" s="173">
        <f>1088020+136002.5</f>
        <v>1224022.5</v>
      </c>
      <c r="I155" s="92">
        <f>8+1</f>
        <v>9</v>
      </c>
    </row>
    <row r="156" spans="1:9" ht="15" customHeight="1" x14ac:dyDescent="0.25">
      <c r="C156" s="48">
        <v>15</v>
      </c>
      <c r="D156" s="225" t="s">
        <v>1083</v>
      </c>
      <c r="E156" s="94">
        <v>40000000</v>
      </c>
      <c r="F156" s="158">
        <f>3815000+545000</f>
        <v>4360000</v>
      </c>
      <c r="G156" s="159">
        <v>0</v>
      </c>
      <c r="H156" s="158">
        <f>3815000+545000</f>
        <v>4360000</v>
      </c>
      <c r="I156" s="92">
        <f>7+1</f>
        <v>8</v>
      </c>
    </row>
    <row r="157" spans="1:9" ht="15" customHeight="1" x14ac:dyDescent="0.25">
      <c r="C157" s="48">
        <v>15</v>
      </c>
      <c r="D157" s="38" t="s">
        <v>938</v>
      </c>
      <c r="E157" s="94">
        <v>10900000</v>
      </c>
      <c r="F157" s="158">
        <f>1782150+148512.5</f>
        <v>1930662.5</v>
      </c>
      <c r="G157" s="159">
        <v>0</v>
      </c>
      <c r="H157" s="158">
        <f>1782150+148512.5</f>
        <v>1930662.5</v>
      </c>
      <c r="I157" s="92">
        <f>12+1</f>
        <v>13</v>
      </c>
    </row>
    <row r="158" spans="1:9" ht="15" customHeight="1" x14ac:dyDescent="0.25">
      <c r="C158" s="48">
        <v>37</v>
      </c>
      <c r="D158" s="38" t="s">
        <v>866</v>
      </c>
      <c r="E158" s="94">
        <v>5983000</v>
      </c>
      <c r="F158" s="158">
        <f>978180+81515</f>
        <v>1059695</v>
      </c>
      <c r="G158" s="159">
        <v>0</v>
      </c>
      <c r="H158" s="158">
        <f>978180+81515</f>
        <v>1059695</v>
      </c>
      <c r="I158" s="92">
        <f>12+1</f>
        <v>13</v>
      </c>
    </row>
    <row r="159" spans="1:9" ht="15" customHeight="1" x14ac:dyDescent="0.25">
      <c r="C159" s="48">
        <v>28</v>
      </c>
      <c r="D159" s="38" t="s">
        <v>867</v>
      </c>
      <c r="E159" s="94">
        <v>25000000</v>
      </c>
      <c r="F159" s="158">
        <f>4087500+340625</f>
        <v>4428125</v>
      </c>
      <c r="G159" s="159">
        <v>0</v>
      </c>
      <c r="H159" s="158">
        <f>4087500+340625</f>
        <v>4428125</v>
      </c>
      <c r="I159" s="92">
        <f>12+1</f>
        <v>13</v>
      </c>
    </row>
    <row r="160" spans="1:9" ht="15" customHeight="1" x14ac:dyDescent="0.25">
      <c r="A160" s="282"/>
      <c r="C160" s="48">
        <v>28</v>
      </c>
      <c r="D160" s="37" t="s">
        <v>868</v>
      </c>
      <c r="E160" s="94">
        <v>30407000</v>
      </c>
      <c r="F160" s="158">
        <f>4941137.5+380087.5</f>
        <v>5321225</v>
      </c>
      <c r="G160" s="159">
        <v>0</v>
      </c>
      <c r="H160" s="158">
        <f>4941137.5+380087.5</f>
        <v>5321225</v>
      </c>
      <c r="I160" s="92">
        <f>13+1</f>
        <v>14</v>
      </c>
    </row>
    <row r="161" spans="1:9" s="95" customFormat="1" ht="15" customHeight="1" x14ac:dyDescent="0.25">
      <c r="C161" s="96">
        <v>32</v>
      </c>
      <c r="D161" s="97" t="s">
        <v>1214</v>
      </c>
      <c r="E161" s="98">
        <v>4000000</v>
      </c>
      <c r="F161" s="170">
        <v>200000</v>
      </c>
      <c r="G161" s="171">
        <v>0</v>
      </c>
      <c r="H161" s="172" t="s">
        <v>461</v>
      </c>
      <c r="I161" s="196">
        <v>4</v>
      </c>
    </row>
    <row r="162" spans="1:9" s="95" customFormat="1" x14ac:dyDescent="0.25">
      <c r="C162" s="96" t="s">
        <v>1263</v>
      </c>
      <c r="D162" s="97" t="s">
        <v>1264</v>
      </c>
      <c r="E162" s="98">
        <v>50000000</v>
      </c>
      <c r="F162" s="170">
        <v>5625000</v>
      </c>
      <c r="G162" s="171">
        <v>5625000</v>
      </c>
      <c r="H162" s="172">
        <v>0</v>
      </c>
      <c r="I162" s="196">
        <v>0</v>
      </c>
    </row>
    <row r="163" spans="1:9" x14ac:dyDescent="0.25">
      <c r="C163" s="48"/>
      <c r="D163" s="37" t="s">
        <v>1274</v>
      </c>
      <c r="E163" s="94">
        <v>23393000</v>
      </c>
      <c r="F163" s="261">
        <f>584825+292412.5</f>
        <v>877237.5</v>
      </c>
      <c r="G163" s="221">
        <v>0</v>
      </c>
      <c r="H163" s="261">
        <f>584825+292412.5</f>
        <v>877237.5</v>
      </c>
      <c r="I163" s="92">
        <f>2+1</f>
        <v>3</v>
      </c>
    </row>
    <row r="164" spans="1:9" s="95" customFormat="1" ht="15" customHeight="1" x14ac:dyDescent="0.25">
      <c r="C164" s="96">
        <v>7</v>
      </c>
      <c r="D164" s="97" t="s">
        <v>1215</v>
      </c>
      <c r="E164" s="98">
        <v>8653000</v>
      </c>
      <c r="F164" s="170">
        <v>353715</v>
      </c>
      <c r="G164" s="170">
        <v>0</v>
      </c>
      <c r="H164" s="172" t="s">
        <v>461</v>
      </c>
      <c r="I164" s="196">
        <v>3</v>
      </c>
    </row>
    <row r="165" spans="1:9" ht="15" customHeight="1" x14ac:dyDescent="0.25">
      <c r="C165" s="48">
        <v>15</v>
      </c>
      <c r="D165" s="38" t="s">
        <v>1084</v>
      </c>
      <c r="E165" s="93">
        <v>12900000</v>
      </c>
      <c r="F165" s="158">
        <f>1230337.5+175762.5</f>
        <v>1406100</v>
      </c>
      <c r="G165" s="159">
        <v>0</v>
      </c>
      <c r="H165" s="158">
        <f>1230337.5+175762.5</f>
        <v>1406100</v>
      </c>
      <c r="I165" s="92">
        <f>7+1</f>
        <v>8</v>
      </c>
    </row>
    <row r="166" spans="1:9" ht="15" customHeight="1" x14ac:dyDescent="0.25">
      <c r="A166" s="95"/>
      <c r="B166" s="95"/>
      <c r="C166" s="96"/>
      <c r="D166" s="97" t="s">
        <v>1354</v>
      </c>
      <c r="E166" s="226">
        <v>42750000</v>
      </c>
      <c r="F166" s="170">
        <v>3740625</v>
      </c>
      <c r="G166" s="171">
        <v>3740625</v>
      </c>
      <c r="H166" s="170">
        <v>0</v>
      </c>
      <c r="I166" s="196">
        <v>0</v>
      </c>
    </row>
    <row r="167" spans="1:9" ht="15" customHeight="1" x14ac:dyDescent="0.25">
      <c r="C167" s="96"/>
      <c r="D167" s="37" t="s">
        <v>1239</v>
      </c>
      <c r="E167" s="99">
        <v>2760000</v>
      </c>
      <c r="F167" s="158">
        <f>112815+37605</f>
        <v>150420</v>
      </c>
      <c r="G167" s="159">
        <v>0</v>
      </c>
      <c r="H167" s="158">
        <f>112815+37605</f>
        <v>150420</v>
      </c>
      <c r="I167" s="92">
        <f>3+1</f>
        <v>4</v>
      </c>
    </row>
    <row r="168" spans="1:9" s="95" customFormat="1" ht="15" customHeight="1" x14ac:dyDescent="0.25">
      <c r="C168" s="96" t="s">
        <v>1168</v>
      </c>
      <c r="D168" s="97" t="s">
        <v>1304</v>
      </c>
      <c r="E168" s="226">
        <v>70000000</v>
      </c>
      <c r="F168" s="170">
        <v>3500000</v>
      </c>
      <c r="G168" s="170">
        <v>3500000</v>
      </c>
      <c r="H168" s="172">
        <v>0</v>
      </c>
      <c r="I168" s="196">
        <v>0</v>
      </c>
    </row>
    <row r="169" spans="1:9" ht="15" customHeight="1" x14ac:dyDescent="0.25">
      <c r="C169" s="48">
        <v>15</v>
      </c>
      <c r="D169" s="38" t="s">
        <v>1033</v>
      </c>
      <c r="E169" s="94">
        <v>30000000</v>
      </c>
      <c r="F169" s="158">
        <f>3270000+408750</f>
        <v>3678750</v>
      </c>
      <c r="G169" s="159">
        <v>0</v>
      </c>
      <c r="H169" s="158">
        <f>3270000+408750</f>
        <v>3678750</v>
      </c>
      <c r="I169" s="92">
        <f>8+1</f>
        <v>9</v>
      </c>
    </row>
    <row r="170" spans="1:9" ht="15" customHeight="1" x14ac:dyDescent="0.25">
      <c r="C170" s="48">
        <v>15</v>
      </c>
      <c r="D170" s="38" t="s">
        <v>1153</v>
      </c>
      <c r="E170" s="94">
        <v>60000000</v>
      </c>
      <c r="F170" s="158">
        <f>4087500+817500</f>
        <v>4905000</v>
      </c>
      <c r="G170" s="159">
        <v>0</v>
      </c>
      <c r="H170" s="158">
        <f>4087500+817500</f>
        <v>4905000</v>
      </c>
      <c r="I170" s="92">
        <f>5+1</f>
        <v>6</v>
      </c>
    </row>
    <row r="171" spans="1:9" s="95" customFormat="1" ht="15" customHeight="1" x14ac:dyDescent="0.25">
      <c r="C171" s="96" t="s">
        <v>1318</v>
      </c>
      <c r="D171" s="97" t="s">
        <v>1319</v>
      </c>
      <c r="E171" s="98">
        <v>303000000</v>
      </c>
      <c r="F171" s="170">
        <v>18937500</v>
      </c>
      <c r="G171" s="172">
        <v>0</v>
      </c>
      <c r="H171" s="172" t="s">
        <v>461</v>
      </c>
      <c r="I171" s="196">
        <v>0</v>
      </c>
    </row>
    <row r="172" spans="1:9" ht="15" customHeight="1" x14ac:dyDescent="0.25">
      <c r="C172" s="48">
        <v>15</v>
      </c>
      <c r="D172" s="38" t="s">
        <v>869</v>
      </c>
      <c r="E172" s="94">
        <v>10973000</v>
      </c>
      <c r="F172" s="158">
        <f>1495150+149515</f>
        <v>1644665</v>
      </c>
      <c r="G172" s="159">
        <v>0</v>
      </c>
      <c r="H172" s="158">
        <f>1495150+149515</f>
        <v>1644665</v>
      </c>
      <c r="I172" s="92">
        <f>10+1</f>
        <v>11</v>
      </c>
    </row>
    <row r="173" spans="1:9" s="95" customFormat="1" ht="15" customHeight="1" x14ac:dyDescent="0.25">
      <c r="C173" s="96">
        <v>7</v>
      </c>
      <c r="D173" s="97" t="s">
        <v>1216</v>
      </c>
      <c r="E173" s="98">
        <v>69000000</v>
      </c>
      <c r="F173" s="170">
        <v>2587500</v>
      </c>
      <c r="G173" s="171">
        <v>0</v>
      </c>
      <c r="H173" s="172" t="s">
        <v>461</v>
      </c>
      <c r="I173" s="196">
        <v>3</v>
      </c>
    </row>
    <row r="174" spans="1:9" ht="15" customHeight="1" x14ac:dyDescent="0.25">
      <c r="C174" s="48">
        <v>15</v>
      </c>
      <c r="D174" s="38" t="s">
        <v>870</v>
      </c>
      <c r="E174" s="94">
        <v>8000000</v>
      </c>
      <c r="F174" s="158">
        <f>1308000+109000</f>
        <v>1417000</v>
      </c>
      <c r="G174" s="159">
        <v>0</v>
      </c>
      <c r="H174" s="158">
        <f>1308000+109000</f>
        <v>1417000</v>
      </c>
      <c r="I174" s="92">
        <f>12+1</f>
        <v>13</v>
      </c>
    </row>
    <row r="175" spans="1:9" s="95" customFormat="1" ht="15" customHeight="1" x14ac:dyDescent="0.25">
      <c r="A175" s="65"/>
      <c r="C175" s="48">
        <v>15</v>
      </c>
      <c r="D175" s="38" t="s">
        <v>871</v>
      </c>
      <c r="E175" s="94">
        <v>11730000</v>
      </c>
      <c r="F175" s="158">
        <f>1598325+159832.5</f>
        <v>1758157.5</v>
      </c>
      <c r="G175" s="159">
        <v>0</v>
      </c>
      <c r="H175" s="158">
        <f>1598325+159832.5</f>
        <v>1758157.5</v>
      </c>
      <c r="I175" s="92">
        <f>10+1</f>
        <v>11</v>
      </c>
    </row>
    <row r="176" spans="1:9" s="95" customFormat="1" ht="15" customHeight="1" x14ac:dyDescent="0.25">
      <c r="C176" s="96">
        <v>7</v>
      </c>
      <c r="D176" s="97" t="s">
        <v>1217</v>
      </c>
      <c r="E176" s="98">
        <v>30000000</v>
      </c>
      <c r="F176" s="170">
        <v>1125000</v>
      </c>
      <c r="G176" s="171">
        <v>0</v>
      </c>
      <c r="H176" s="172" t="s">
        <v>461</v>
      </c>
      <c r="I176" s="196">
        <v>3</v>
      </c>
    </row>
    <row r="177" spans="1:9" ht="15" customHeight="1" x14ac:dyDescent="0.25">
      <c r="C177" s="48"/>
      <c r="D177" s="38" t="s">
        <v>872</v>
      </c>
      <c r="E177" s="94">
        <v>3000000</v>
      </c>
      <c r="F177" s="158">
        <f>449625+40875</f>
        <v>490500</v>
      </c>
      <c r="G177" s="159">
        <v>0</v>
      </c>
      <c r="H177" s="158">
        <f>449625+40875</f>
        <v>490500</v>
      </c>
      <c r="I177" s="92">
        <f>11+1</f>
        <v>12</v>
      </c>
    </row>
    <row r="178" spans="1:9" s="95" customFormat="1" ht="15" customHeight="1" x14ac:dyDescent="0.25">
      <c r="C178" s="96"/>
      <c r="D178" s="97" t="s">
        <v>1387</v>
      </c>
      <c r="E178" s="98">
        <v>20749000</v>
      </c>
      <c r="F178" s="170">
        <f>282695+282695</f>
        <v>565390</v>
      </c>
      <c r="G178" s="170">
        <v>0</v>
      </c>
      <c r="H178" s="172" t="s">
        <v>461</v>
      </c>
      <c r="I178" s="196">
        <f>1+1</f>
        <v>2</v>
      </c>
    </row>
    <row r="179" spans="1:9" ht="15" customHeight="1" x14ac:dyDescent="0.25">
      <c r="C179" s="48">
        <v>15</v>
      </c>
      <c r="D179" s="38" t="s">
        <v>937</v>
      </c>
      <c r="E179" s="94">
        <v>12000000</v>
      </c>
      <c r="F179" s="158">
        <f>1471500+163500</f>
        <v>1635000</v>
      </c>
      <c r="G179" s="159">
        <v>0</v>
      </c>
      <c r="H179" s="158">
        <f>1471500+163500</f>
        <v>1635000</v>
      </c>
      <c r="I179" s="92">
        <f>9+1</f>
        <v>10</v>
      </c>
    </row>
    <row r="180" spans="1:9" s="95" customFormat="1" ht="15" customHeight="1" x14ac:dyDescent="0.25">
      <c r="C180" s="96">
        <v>11</v>
      </c>
      <c r="D180" s="97" t="s">
        <v>1218</v>
      </c>
      <c r="E180" s="98">
        <v>347000000</v>
      </c>
      <c r="F180" s="170">
        <v>13012500</v>
      </c>
      <c r="G180" s="170">
        <v>0</v>
      </c>
      <c r="H180" s="172" t="s">
        <v>461</v>
      </c>
      <c r="I180" s="196">
        <v>0</v>
      </c>
    </row>
    <row r="181" spans="1:9" s="95" customFormat="1" ht="15" customHeight="1" x14ac:dyDescent="0.25">
      <c r="C181" s="96">
        <v>17</v>
      </c>
      <c r="D181" s="97" t="s">
        <v>1219</v>
      </c>
      <c r="E181" s="98">
        <v>37000000</v>
      </c>
      <c r="F181" s="170">
        <v>1850000</v>
      </c>
      <c r="G181" s="170">
        <v>0</v>
      </c>
      <c r="H181" s="172" t="s">
        <v>461</v>
      </c>
      <c r="I181" s="196">
        <v>4</v>
      </c>
    </row>
    <row r="182" spans="1:9" ht="15" customHeight="1" x14ac:dyDescent="0.25">
      <c r="A182" s="282"/>
      <c r="C182" s="48">
        <v>15</v>
      </c>
      <c r="D182" s="38" t="s">
        <v>1034</v>
      </c>
      <c r="E182" s="94">
        <v>14448000</v>
      </c>
      <c r="F182" s="158">
        <f>1444800+180600</f>
        <v>1625400</v>
      </c>
      <c r="G182" s="159">
        <v>0</v>
      </c>
      <c r="H182" s="158">
        <f>1444800+180600</f>
        <v>1625400</v>
      </c>
      <c r="I182" s="92">
        <f>8+1</f>
        <v>9</v>
      </c>
    </row>
    <row r="183" spans="1:9" ht="15" customHeight="1" x14ac:dyDescent="0.25">
      <c r="C183" s="96" t="s">
        <v>1360</v>
      </c>
      <c r="D183" s="97" t="s">
        <v>1361</v>
      </c>
      <c r="E183" s="98">
        <v>16641000</v>
      </c>
      <c r="F183" s="170">
        <v>1872112.5</v>
      </c>
      <c r="G183" s="170">
        <v>1872112.5</v>
      </c>
      <c r="H183" s="172">
        <v>0</v>
      </c>
      <c r="I183" s="196">
        <v>0</v>
      </c>
    </row>
    <row r="184" spans="1:9" s="95" customFormat="1" ht="15" customHeight="1" x14ac:dyDescent="0.25">
      <c r="C184" s="96">
        <v>20</v>
      </c>
      <c r="D184" s="97" t="s">
        <v>1220</v>
      </c>
      <c r="E184" s="98">
        <v>3268000</v>
      </c>
      <c r="F184" s="170">
        <v>135340.16999999998</v>
      </c>
      <c r="G184" s="171">
        <v>0</v>
      </c>
      <c r="H184" s="172" t="s">
        <v>461</v>
      </c>
      <c r="I184" s="92">
        <v>3</v>
      </c>
    </row>
    <row r="185" spans="1:9" s="95" customFormat="1" x14ac:dyDescent="0.25">
      <c r="C185" s="96" t="s">
        <v>1311</v>
      </c>
      <c r="D185" s="97" t="s">
        <v>1320</v>
      </c>
      <c r="E185" s="98">
        <v>35539000</v>
      </c>
      <c r="F185" s="170">
        <v>1452660</v>
      </c>
      <c r="G185" s="170">
        <v>1452660</v>
      </c>
      <c r="H185" s="172">
        <v>0</v>
      </c>
      <c r="I185" s="196">
        <v>0</v>
      </c>
    </row>
    <row r="186" spans="1:9" s="95" customFormat="1" x14ac:dyDescent="0.25">
      <c r="C186" s="96" t="s">
        <v>1168</v>
      </c>
      <c r="D186" s="97" t="s">
        <v>1342</v>
      </c>
      <c r="E186" s="98">
        <v>23000000</v>
      </c>
      <c r="F186" s="170">
        <v>313375</v>
      </c>
      <c r="G186" s="171">
        <v>313375</v>
      </c>
      <c r="H186" s="172">
        <v>0</v>
      </c>
      <c r="I186" s="196">
        <v>0</v>
      </c>
    </row>
    <row r="187" spans="1:9" s="95" customFormat="1" ht="15" customHeight="1" x14ac:dyDescent="0.25">
      <c r="C187" s="96">
        <v>7</v>
      </c>
      <c r="D187" s="97" t="s">
        <v>1221</v>
      </c>
      <c r="E187" s="98">
        <v>298737000</v>
      </c>
      <c r="F187" s="170">
        <v>3734212.5</v>
      </c>
      <c r="G187" s="170">
        <v>0</v>
      </c>
      <c r="H187" s="172" t="s">
        <v>461</v>
      </c>
      <c r="I187" s="196">
        <v>1</v>
      </c>
    </row>
    <row r="188" spans="1:9" x14ac:dyDescent="0.25">
      <c r="C188" s="48">
        <v>4</v>
      </c>
      <c r="D188" s="38" t="s">
        <v>1085</v>
      </c>
      <c r="E188" s="99">
        <v>180000000</v>
      </c>
      <c r="F188" s="158">
        <v>2250000</v>
      </c>
      <c r="G188" s="159">
        <v>2250000</v>
      </c>
      <c r="H188" s="173">
        <v>0</v>
      </c>
      <c r="I188" s="92">
        <v>0</v>
      </c>
    </row>
    <row r="189" spans="1:9" x14ac:dyDescent="0.25">
      <c r="C189" s="48">
        <v>4</v>
      </c>
      <c r="D189" s="38" t="s">
        <v>873</v>
      </c>
      <c r="E189" s="94">
        <v>16019000</v>
      </c>
      <c r="F189" s="158">
        <v>1001187.5</v>
      </c>
      <c r="G189" s="159">
        <v>1001187.5</v>
      </c>
      <c r="H189" s="173">
        <v>0</v>
      </c>
      <c r="I189" s="92">
        <v>0</v>
      </c>
    </row>
    <row r="190" spans="1:9" ht="15" customHeight="1" x14ac:dyDescent="0.25">
      <c r="C190" s="227">
        <v>15</v>
      </c>
      <c r="D190" s="149" t="s">
        <v>1130</v>
      </c>
      <c r="E190" s="228">
        <v>14738000</v>
      </c>
      <c r="F190" s="158">
        <f>1105350+184225</f>
        <v>1289575</v>
      </c>
      <c r="G190" s="167">
        <v>0</v>
      </c>
      <c r="H190" s="158">
        <f>1105350+184225</f>
        <v>1289575</v>
      </c>
      <c r="I190" s="92">
        <f>6+1</f>
        <v>7</v>
      </c>
    </row>
    <row r="191" spans="1:9" ht="15" customHeight="1" x14ac:dyDescent="0.25">
      <c r="C191" s="227"/>
      <c r="D191" s="229" t="s">
        <v>939</v>
      </c>
      <c r="E191" s="228">
        <v>7290000</v>
      </c>
      <c r="F191" s="158">
        <f>894037.5+99337.5</f>
        <v>993375</v>
      </c>
      <c r="G191" s="230">
        <v>0</v>
      </c>
      <c r="H191" s="158">
        <f>894037.5+99337.5</f>
        <v>993375</v>
      </c>
      <c r="I191" s="92">
        <f>9+1</f>
        <v>10</v>
      </c>
    </row>
    <row r="192" spans="1:9" ht="15" customHeight="1" x14ac:dyDescent="0.25">
      <c r="A192" s="282"/>
      <c r="C192" s="48">
        <v>37</v>
      </c>
      <c r="D192" s="38" t="s">
        <v>1086</v>
      </c>
      <c r="E192" s="93">
        <v>16800000</v>
      </c>
      <c r="F192" s="158">
        <f>1602300+228900</f>
        <v>1831200</v>
      </c>
      <c r="G192" s="158">
        <v>0</v>
      </c>
      <c r="H192" s="158">
        <f>1602300+228900</f>
        <v>1831200</v>
      </c>
      <c r="I192" s="92">
        <f>7+1</f>
        <v>8</v>
      </c>
    </row>
    <row r="193" spans="1:10" ht="15" customHeight="1" x14ac:dyDescent="0.25">
      <c r="A193" s="282"/>
      <c r="C193" s="48"/>
      <c r="D193" s="37" t="s">
        <v>1238</v>
      </c>
      <c r="E193" s="93">
        <v>2720000</v>
      </c>
      <c r="F193" s="158">
        <f>111180+37060</f>
        <v>148240</v>
      </c>
      <c r="G193" s="158">
        <v>0</v>
      </c>
      <c r="H193" s="158">
        <f>111180+37060</f>
        <v>148240</v>
      </c>
      <c r="I193" s="92">
        <f>3+1</f>
        <v>4</v>
      </c>
    </row>
    <row r="194" spans="1:10" s="95" customFormat="1" ht="15.75" customHeight="1" thickBot="1" x14ac:dyDescent="0.3">
      <c r="C194" s="193" t="s">
        <v>1344</v>
      </c>
      <c r="D194" s="194" t="s">
        <v>1343</v>
      </c>
      <c r="E194" s="234">
        <v>49312000</v>
      </c>
      <c r="F194" s="191">
        <v>3082000</v>
      </c>
      <c r="G194" s="191">
        <v>3082000</v>
      </c>
      <c r="H194" s="195">
        <v>0</v>
      </c>
      <c r="I194" s="193">
        <v>0</v>
      </c>
    </row>
    <row r="195" spans="1:10" ht="15" customHeight="1" x14ac:dyDescent="0.25">
      <c r="C195" s="92"/>
      <c r="D195" s="100" t="s">
        <v>874</v>
      </c>
      <c r="E195" s="101"/>
      <c r="F195" s="159"/>
      <c r="G195" s="159"/>
      <c r="H195" s="174"/>
      <c r="I195" s="92"/>
    </row>
    <row r="196" spans="1:10" ht="15" customHeight="1" x14ac:dyDescent="0.25">
      <c r="C196" s="96">
        <v>42</v>
      </c>
      <c r="D196" s="97" t="s">
        <v>1363</v>
      </c>
      <c r="E196" s="98">
        <v>3000000</v>
      </c>
      <c r="F196" s="170">
        <v>122625</v>
      </c>
      <c r="G196" s="171">
        <v>0</v>
      </c>
      <c r="H196" s="172" t="s">
        <v>461</v>
      </c>
      <c r="I196" s="196">
        <v>3</v>
      </c>
      <c r="J196" s="146"/>
    </row>
    <row r="197" spans="1:10" ht="15" customHeight="1" x14ac:dyDescent="0.25">
      <c r="C197" s="48"/>
      <c r="D197" s="37" t="s">
        <v>1119</v>
      </c>
      <c r="E197" s="94">
        <v>2672000</v>
      </c>
      <c r="F197" s="158">
        <f>218490+36415</f>
        <v>254905</v>
      </c>
      <c r="G197" s="159">
        <v>0</v>
      </c>
      <c r="H197" s="158">
        <f>218490+36415</f>
        <v>254905</v>
      </c>
      <c r="I197" s="92">
        <f>6+1</f>
        <v>7</v>
      </c>
    </row>
    <row r="198" spans="1:10" s="95" customFormat="1" x14ac:dyDescent="0.25">
      <c r="C198" s="96" t="s">
        <v>1168</v>
      </c>
      <c r="D198" s="97" t="s">
        <v>1281</v>
      </c>
      <c r="E198" s="98">
        <v>6000000</v>
      </c>
      <c r="F198" s="170">
        <v>163500</v>
      </c>
      <c r="G198" s="171">
        <v>163500</v>
      </c>
      <c r="H198" s="172">
        <v>0</v>
      </c>
      <c r="I198" s="196">
        <v>0</v>
      </c>
    </row>
    <row r="199" spans="1:10" ht="15" customHeight="1" x14ac:dyDescent="0.25">
      <c r="C199" s="96">
        <v>42</v>
      </c>
      <c r="D199" s="97" t="s">
        <v>1364</v>
      </c>
      <c r="E199" s="98">
        <v>4000000</v>
      </c>
      <c r="F199" s="170">
        <v>150000</v>
      </c>
      <c r="G199" s="171">
        <v>0</v>
      </c>
      <c r="H199" s="172" t="s">
        <v>461</v>
      </c>
      <c r="I199" s="196">
        <v>3</v>
      </c>
    </row>
    <row r="200" spans="1:10" ht="15" customHeight="1" x14ac:dyDescent="0.25">
      <c r="C200" s="48">
        <v>37</v>
      </c>
      <c r="D200" s="38" t="s">
        <v>875</v>
      </c>
      <c r="E200" s="94">
        <v>2400000</v>
      </c>
      <c r="F200" s="158">
        <v>163500</v>
      </c>
      <c r="G200" s="159">
        <v>0</v>
      </c>
      <c r="H200" s="173">
        <v>163500</v>
      </c>
      <c r="I200" s="92">
        <v>5</v>
      </c>
    </row>
    <row r="201" spans="1:10" s="95" customFormat="1" ht="15" customHeight="1" x14ac:dyDescent="0.25">
      <c r="C201" s="96">
        <v>5</v>
      </c>
      <c r="D201" s="97" t="s">
        <v>1222</v>
      </c>
      <c r="E201" s="98">
        <v>574000</v>
      </c>
      <c r="F201" s="170">
        <v>15655</v>
      </c>
      <c r="G201" s="171">
        <v>0</v>
      </c>
      <c r="H201" s="172" t="s">
        <v>461</v>
      </c>
      <c r="I201" s="196">
        <v>2</v>
      </c>
    </row>
    <row r="202" spans="1:10" s="95" customFormat="1" ht="15" customHeight="1" x14ac:dyDescent="0.25">
      <c r="C202" s="96">
        <v>5</v>
      </c>
      <c r="D202" s="97" t="s">
        <v>1223</v>
      </c>
      <c r="E202" s="98">
        <v>5000000</v>
      </c>
      <c r="F202" s="170">
        <v>150000</v>
      </c>
      <c r="G202" s="170">
        <v>0</v>
      </c>
      <c r="H202" s="172" t="s">
        <v>461</v>
      </c>
      <c r="I202" s="196">
        <v>3</v>
      </c>
    </row>
    <row r="203" spans="1:10" ht="15" customHeight="1" x14ac:dyDescent="0.25">
      <c r="C203" s="48">
        <v>37</v>
      </c>
      <c r="D203" s="38" t="s">
        <v>876</v>
      </c>
      <c r="E203" s="94">
        <v>7701000</v>
      </c>
      <c r="F203" s="158">
        <v>1049250</v>
      </c>
      <c r="G203" s="159">
        <v>0</v>
      </c>
      <c r="H203" s="173">
        <v>1049250</v>
      </c>
      <c r="I203" s="92">
        <v>10</v>
      </c>
    </row>
    <row r="204" spans="1:10" s="95" customFormat="1" ht="15" customHeight="1" x14ac:dyDescent="0.25">
      <c r="C204" s="96"/>
      <c r="D204" s="97" t="s">
        <v>1388</v>
      </c>
      <c r="E204" s="98">
        <v>2550000</v>
      </c>
      <c r="F204" s="170">
        <v>323993.83333333337</v>
      </c>
      <c r="G204" s="171">
        <v>0</v>
      </c>
      <c r="H204" s="172" t="s">
        <v>461</v>
      </c>
      <c r="I204" s="196">
        <v>10</v>
      </c>
    </row>
    <row r="205" spans="1:10" s="95" customFormat="1" ht="15" customHeight="1" x14ac:dyDescent="0.25">
      <c r="C205" s="96">
        <v>19</v>
      </c>
      <c r="D205" s="97" t="s">
        <v>1224</v>
      </c>
      <c r="E205" s="98">
        <v>1747000</v>
      </c>
      <c r="F205" s="170">
        <v>72549.027777777781</v>
      </c>
      <c r="G205" s="171">
        <v>0</v>
      </c>
      <c r="H205" s="172" t="s">
        <v>461</v>
      </c>
      <c r="I205" s="196">
        <v>0</v>
      </c>
    </row>
    <row r="206" spans="1:10" s="95" customFormat="1" x14ac:dyDescent="0.25">
      <c r="C206" s="96" t="s">
        <v>1291</v>
      </c>
      <c r="D206" s="97" t="s">
        <v>1366</v>
      </c>
      <c r="E206" s="98">
        <v>638000</v>
      </c>
      <c r="F206" s="170">
        <v>8695</v>
      </c>
      <c r="G206" s="171">
        <v>8695</v>
      </c>
      <c r="H206" s="172">
        <v>0</v>
      </c>
      <c r="I206" s="196">
        <v>0</v>
      </c>
    </row>
    <row r="207" spans="1:10" x14ac:dyDescent="0.25">
      <c r="C207" s="48">
        <v>4</v>
      </c>
      <c r="D207" s="38" t="s">
        <v>877</v>
      </c>
      <c r="E207" s="94">
        <v>2681000</v>
      </c>
      <c r="F207" s="158">
        <v>25624.44</v>
      </c>
      <c r="G207" s="159">
        <v>25624.44</v>
      </c>
      <c r="H207" s="173">
        <v>0</v>
      </c>
      <c r="I207" s="92">
        <v>0</v>
      </c>
    </row>
    <row r="208" spans="1:10" s="95" customFormat="1" ht="15" customHeight="1" x14ac:dyDescent="0.25">
      <c r="C208" s="96">
        <v>45</v>
      </c>
      <c r="D208" s="97" t="s">
        <v>1321</v>
      </c>
      <c r="E208" s="98">
        <v>43000000</v>
      </c>
      <c r="F208" s="170">
        <v>585875</v>
      </c>
      <c r="G208" s="171">
        <v>0</v>
      </c>
      <c r="H208" s="172" t="s">
        <v>461</v>
      </c>
      <c r="I208" s="196">
        <v>1</v>
      </c>
    </row>
    <row r="209" spans="1:10" ht="15" customHeight="1" x14ac:dyDescent="0.25">
      <c r="C209" s="48"/>
      <c r="D209" s="38" t="s">
        <v>1154</v>
      </c>
      <c r="E209" s="94">
        <v>6398000</v>
      </c>
      <c r="F209" s="158">
        <f>435875+87175</f>
        <v>523050</v>
      </c>
      <c r="G209" s="159">
        <v>0</v>
      </c>
      <c r="H209" s="158">
        <f>435875+87175</f>
        <v>523050</v>
      </c>
      <c r="I209" s="92">
        <f>5+1</f>
        <v>6</v>
      </c>
    </row>
    <row r="210" spans="1:10" ht="15" customHeight="1" x14ac:dyDescent="0.25">
      <c r="C210" s="48"/>
      <c r="D210" s="38" t="s">
        <v>878</v>
      </c>
      <c r="E210" s="94">
        <v>7400000</v>
      </c>
      <c r="F210" s="158">
        <f>1017500+92500</f>
        <v>1110000</v>
      </c>
      <c r="G210" s="159">
        <v>0</v>
      </c>
      <c r="H210" s="158">
        <f>1017500+92500</f>
        <v>1110000</v>
      </c>
      <c r="I210" s="92">
        <f>11+1</f>
        <v>12</v>
      </c>
    </row>
    <row r="211" spans="1:10" s="95" customFormat="1" ht="15" customHeight="1" x14ac:dyDescent="0.25">
      <c r="C211" s="96">
        <v>7</v>
      </c>
      <c r="D211" s="97" t="s">
        <v>1273</v>
      </c>
      <c r="E211" s="98">
        <v>1300000</v>
      </c>
      <c r="F211" s="170">
        <v>106275</v>
      </c>
      <c r="G211" s="171">
        <v>0</v>
      </c>
      <c r="H211" s="172" t="s">
        <v>461</v>
      </c>
      <c r="I211" s="196">
        <v>6</v>
      </c>
    </row>
    <row r="212" spans="1:10" s="95" customFormat="1" ht="15" customHeight="1" x14ac:dyDescent="0.25">
      <c r="C212" s="96">
        <v>5</v>
      </c>
      <c r="D212" s="97" t="s">
        <v>1368</v>
      </c>
      <c r="E212" s="98">
        <v>1968000</v>
      </c>
      <c r="F212" s="170">
        <v>33357.333333333336</v>
      </c>
      <c r="G212" s="171">
        <v>0</v>
      </c>
      <c r="H212" s="172" t="s">
        <v>461</v>
      </c>
      <c r="I212" s="196">
        <v>2</v>
      </c>
    </row>
    <row r="213" spans="1:10" ht="15" customHeight="1" x14ac:dyDescent="0.25">
      <c r="C213" s="48">
        <v>15</v>
      </c>
      <c r="D213" s="38" t="s">
        <v>879</v>
      </c>
      <c r="E213" s="94">
        <v>4500000</v>
      </c>
      <c r="F213" s="158">
        <f>806600+61312.5</f>
        <v>867912.5</v>
      </c>
      <c r="G213" s="159">
        <v>0</v>
      </c>
      <c r="H213" s="158">
        <f>806600+61312.5</f>
        <v>867912.5</v>
      </c>
      <c r="I213" s="92">
        <f>13+1</f>
        <v>14</v>
      </c>
    </row>
    <row r="214" spans="1:10" ht="15" customHeight="1" x14ac:dyDescent="0.25">
      <c r="C214" s="48"/>
      <c r="D214" s="38" t="s">
        <v>880</v>
      </c>
      <c r="E214" s="94">
        <v>1607000</v>
      </c>
      <c r="F214" s="158">
        <f>211675+21167.5</f>
        <v>232842.5</v>
      </c>
      <c r="G214" s="159">
        <v>0</v>
      </c>
      <c r="H214" s="158">
        <f>211675+21167.5</f>
        <v>232842.5</v>
      </c>
      <c r="I214" s="92">
        <f>10+1</f>
        <v>11</v>
      </c>
    </row>
    <row r="215" spans="1:10" x14ac:dyDescent="0.25">
      <c r="C215" s="48">
        <v>4</v>
      </c>
      <c r="D215" s="38" t="s">
        <v>881</v>
      </c>
      <c r="E215" s="94">
        <v>2568000</v>
      </c>
      <c r="F215" s="158">
        <f>419760+34980</f>
        <v>454740</v>
      </c>
      <c r="G215" s="159">
        <v>69960</v>
      </c>
      <c r="H215" s="173">
        <f>349800+34980</f>
        <v>384780</v>
      </c>
      <c r="I215" s="92">
        <f>10+1</f>
        <v>11</v>
      </c>
    </row>
    <row r="216" spans="1:10" ht="15" customHeight="1" x14ac:dyDescent="0.25">
      <c r="C216" s="48"/>
      <c r="D216" s="97" t="s">
        <v>1355</v>
      </c>
      <c r="E216" s="98">
        <v>7500000</v>
      </c>
      <c r="F216" s="170">
        <v>494062.5</v>
      </c>
      <c r="G216" s="171">
        <v>0</v>
      </c>
      <c r="H216" s="172" t="s">
        <v>461</v>
      </c>
      <c r="I216" s="196">
        <v>5</v>
      </c>
    </row>
    <row r="217" spans="1:10" ht="15" customHeight="1" x14ac:dyDescent="0.25">
      <c r="C217" s="48">
        <v>15</v>
      </c>
      <c r="D217" s="38" t="s">
        <v>882</v>
      </c>
      <c r="E217" s="94">
        <v>3072000</v>
      </c>
      <c r="F217" s="158">
        <f>590296.5+41865</f>
        <v>632161.5</v>
      </c>
      <c r="G217" s="159">
        <v>0</v>
      </c>
      <c r="H217" s="158">
        <f>590296.5+41865</f>
        <v>632161.5</v>
      </c>
      <c r="I217" s="92">
        <f>14+1</f>
        <v>15</v>
      </c>
    </row>
    <row r="218" spans="1:10" ht="15" customHeight="1" x14ac:dyDescent="0.25">
      <c r="C218" s="48"/>
      <c r="D218" s="38" t="s">
        <v>1035</v>
      </c>
      <c r="E218" s="94">
        <v>3000000</v>
      </c>
      <c r="F218" s="158">
        <f>327000+40875</f>
        <v>367875</v>
      </c>
      <c r="G218" s="159">
        <v>0</v>
      </c>
      <c r="H218" s="158">
        <f>327000+40875</f>
        <v>367875</v>
      </c>
      <c r="I218" s="92">
        <f>8+1</f>
        <v>9</v>
      </c>
    </row>
    <row r="219" spans="1:10" ht="15" customHeight="1" x14ac:dyDescent="0.25">
      <c r="C219" s="48"/>
      <c r="D219" s="38" t="s">
        <v>883</v>
      </c>
      <c r="E219" s="94">
        <v>1700000</v>
      </c>
      <c r="F219" s="158">
        <v>92650</v>
      </c>
      <c r="G219" s="159">
        <v>0</v>
      </c>
      <c r="H219" s="173">
        <v>92650</v>
      </c>
      <c r="I219" s="92">
        <v>4</v>
      </c>
    </row>
    <row r="220" spans="1:10" x14ac:dyDescent="0.25">
      <c r="C220" s="48">
        <v>4</v>
      </c>
      <c r="D220" s="38" t="s">
        <v>884</v>
      </c>
      <c r="E220" s="94">
        <v>5222000</v>
      </c>
      <c r="F220" s="158">
        <f>782622.5+71147.5</f>
        <v>853770</v>
      </c>
      <c r="G220" s="159">
        <v>71147.5</v>
      </c>
      <c r="H220" s="173">
        <f>711475+71147.5</f>
        <v>782622.5</v>
      </c>
      <c r="I220" s="92">
        <f>10+1</f>
        <v>11</v>
      </c>
    </row>
    <row r="221" spans="1:10" x14ac:dyDescent="0.25">
      <c r="C221" s="96">
        <v>5</v>
      </c>
      <c r="D221" s="97" t="s">
        <v>1398</v>
      </c>
      <c r="E221" s="98">
        <v>1992000</v>
      </c>
      <c r="F221" s="170">
        <f>108600+27150</f>
        <v>135750</v>
      </c>
      <c r="G221" s="171">
        <v>0</v>
      </c>
      <c r="H221" s="172" t="s">
        <v>461</v>
      </c>
      <c r="I221" s="196">
        <f>4+1</f>
        <v>5</v>
      </c>
      <c r="J221" s="146"/>
    </row>
    <row r="222" spans="1:10" ht="15" customHeight="1" x14ac:dyDescent="0.25">
      <c r="C222" s="48"/>
      <c r="D222" s="38" t="s">
        <v>1080</v>
      </c>
      <c r="E222" s="93">
        <v>2080000</v>
      </c>
      <c r="F222" s="158">
        <v>56680</v>
      </c>
      <c r="G222" s="159">
        <v>0</v>
      </c>
      <c r="H222" s="173">
        <v>56680</v>
      </c>
      <c r="I222" s="92">
        <v>2</v>
      </c>
    </row>
    <row r="223" spans="1:10" s="95" customFormat="1" ht="15" customHeight="1" x14ac:dyDescent="0.25">
      <c r="C223" s="96">
        <v>7</v>
      </c>
      <c r="D223" s="97" t="s">
        <v>1225</v>
      </c>
      <c r="E223" s="98">
        <v>5500000</v>
      </c>
      <c r="F223" s="170">
        <v>605328.47222222225</v>
      </c>
      <c r="G223" s="171">
        <v>0</v>
      </c>
      <c r="H223" s="172" t="s">
        <v>461</v>
      </c>
      <c r="I223" s="196">
        <v>8</v>
      </c>
    </row>
    <row r="224" spans="1:10" ht="15" customHeight="1" x14ac:dyDescent="0.25">
      <c r="A224" s="282"/>
      <c r="C224" s="48">
        <v>15</v>
      </c>
      <c r="D224" s="38" t="s">
        <v>885</v>
      </c>
      <c r="E224" s="94">
        <v>12063000</v>
      </c>
      <c r="F224" s="158">
        <f>2111025+150787.5</f>
        <v>2261812.5</v>
      </c>
      <c r="G224" s="159">
        <v>0</v>
      </c>
      <c r="H224" s="158">
        <f>2111025+150787.5</f>
        <v>2261812.5</v>
      </c>
      <c r="I224" s="92">
        <f>14+1</f>
        <v>15</v>
      </c>
    </row>
    <row r="225" spans="1:9" x14ac:dyDescent="0.25">
      <c r="C225" s="48">
        <v>4</v>
      </c>
      <c r="D225" s="38" t="s">
        <v>886</v>
      </c>
      <c r="E225" s="94">
        <v>4060000</v>
      </c>
      <c r="F225" s="158">
        <f>474501.22+55317.5</f>
        <v>529818.72</v>
      </c>
      <c r="G225" s="159">
        <v>55317.5</v>
      </c>
      <c r="H225" s="173">
        <f>419183.72+55317.5</f>
        <v>474501.22</v>
      </c>
      <c r="I225" s="92">
        <f>8+1</f>
        <v>9</v>
      </c>
    </row>
    <row r="226" spans="1:9" ht="15" customHeight="1" x14ac:dyDescent="0.25">
      <c r="C226" s="48">
        <v>15</v>
      </c>
      <c r="D226" s="38" t="s">
        <v>887</v>
      </c>
      <c r="E226" s="94">
        <v>4000000</v>
      </c>
      <c r="F226" s="158">
        <f>705472.22+54500</f>
        <v>759972.22</v>
      </c>
      <c r="G226" s="159">
        <v>0</v>
      </c>
      <c r="H226" s="158">
        <f>705472.22+54500</f>
        <v>759972.22</v>
      </c>
      <c r="I226" s="92">
        <f>13+1</f>
        <v>14</v>
      </c>
    </row>
    <row r="227" spans="1:9" s="95" customFormat="1" x14ac:dyDescent="0.25">
      <c r="C227" s="96">
        <v>4</v>
      </c>
      <c r="D227" s="97" t="s">
        <v>1389</v>
      </c>
      <c r="E227" s="98">
        <v>10800000</v>
      </c>
      <c r="F227" s="170">
        <v>703656.25</v>
      </c>
      <c r="G227" s="171">
        <v>703656.25</v>
      </c>
      <c r="H227" s="172">
        <v>0</v>
      </c>
      <c r="I227" s="196">
        <v>0</v>
      </c>
    </row>
    <row r="228" spans="1:9" ht="15" customHeight="1" x14ac:dyDescent="0.25">
      <c r="C228" s="48"/>
      <c r="D228" s="37" t="s">
        <v>1128</v>
      </c>
      <c r="E228" s="94">
        <v>6229000</v>
      </c>
      <c r="F228" s="158">
        <f>339440+84860</f>
        <v>424300</v>
      </c>
      <c r="G228" s="159">
        <v>0</v>
      </c>
      <c r="H228" s="158">
        <f>339440+84860</f>
        <v>424300</v>
      </c>
      <c r="I228" s="92">
        <f>4+1</f>
        <v>5</v>
      </c>
    </row>
    <row r="229" spans="1:9" ht="15" customHeight="1" x14ac:dyDescent="0.25">
      <c r="C229" s="48">
        <v>37</v>
      </c>
      <c r="D229" s="38" t="s">
        <v>888</v>
      </c>
      <c r="E229" s="94">
        <v>1549000</v>
      </c>
      <c r="F229" s="158">
        <f>307518.22+21095</f>
        <v>328613.21999999997</v>
      </c>
      <c r="G229" s="159">
        <v>0</v>
      </c>
      <c r="H229" s="158">
        <f>307518.22+21095</f>
        <v>328613.21999999997</v>
      </c>
      <c r="I229" s="92">
        <f>15+1</f>
        <v>16</v>
      </c>
    </row>
    <row r="230" spans="1:9" ht="15" customHeight="1" x14ac:dyDescent="0.25">
      <c r="A230" s="282"/>
      <c r="C230" s="48"/>
      <c r="D230" s="38" t="s">
        <v>889</v>
      </c>
      <c r="E230" s="94">
        <v>2900000</v>
      </c>
      <c r="F230" s="158">
        <f>395125+39512.5</f>
        <v>434637.5</v>
      </c>
      <c r="G230" s="159">
        <v>0</v>
      </c>
      <c r="H230" s="158">
        <f>395125+39512.5</f>
        <v>434637.5</v>
      </c>
      <c r="I230" s="92">
        <f>10+1</f>
        <v>11</v>
      </c>
    </row>
    <row r="231" spans="1:9" s="95" customFormat="1" x14ac:dyDescent="0.25">
      <c r="C231" s="96" t="s">
        <v>1168</v>
      </c>
      <c r="D231" s="97" t="s">
        <v>1226</v>
      </c>
      <c r="E231" s="98">
        <v>1800000</v>
      </c>
      <c r="F231" s="170">
        <v>14170</v>
      </c>
      <c r="G231" s="171">
        <v>14170</v>
      </c>
      <c r="H231" s="172" t="s">
        <v>461</v>
      </c>
      <c r="I231" s="196">
        <v>0</v>
      </c>
    </row>
    <row r="232" spans="1:9" s="95" customFormat="1" ht="15" customHeight="1" x14ac:dyDescent="0.25">
      <c r="C232" s="96">
        <v>18</v>
      </c>
      <c r="D232" s="97" t="s">
        <v>1227</v>
      </c>
      <c r="E232" s="98">
        <v>4021000</v>
      </c>
      <c r="F232" s="170">
        <v>219140</v>
      </c>
      <c r="G232" s="171">
        <v>0</v>
      </c>
      <c r="H232" s="172" t="s">
        <v>461</v>
      </c>
      <c r="I232" s="196">
        <v>4</v>
      </c>
    </row>
    <row r="233" spans="1:9" s="95" customFormat="1" ht="15" customHeight="1" x14ac:dyDescent="0.25">
      <c r="C233" s="96">
        <v>40</v>
      </c>
      <c r="D233" s="97" t="s">
        <v>1266</v>
      </c>
      <c r="E233" s="98">
        <v>5448000</v>
      </c>
      <c r="F233" s="170">
        <v>246673.33000000002</v>
      </c>
      <c r="G233" s="171">
        <v>0</v>
      </c>
      <c r="H233" s="172" t="s">
        <v>461</v>
      </c>
      <c r="I233" s="196">
        <v>4</v>
      </c>
    </row>
    <row r="234" spans="1:9" s="95" customFormat="1" ht="15" customHeight="1" x14ac:dyDescent="0.25">
      <c r="C234" s="96">
        <v>4</v>
      </c>
      <c r="D234" s="97" t="s">
        <v>1390</v>
      </c>
      <c r="E234" s="98">
        <v>301000</v>
      </c>
      <c r="F234" s="170">
        <v>36900</v>
      </c>
      <c r="G234" s="171">
        <v>36900</v>
      </c>
      <c r="H234" s="172">
        <v>0</v>
      </c>
      <c r="I234" s="196">
        <v>0</v>
      </c>
    </row>
    <row r="235" spans="1:9" s="95" customFormat="1" ht="15" customHeight="1" x14ac:dyDescent="0.25">
      <c r="C235" s="96">
        <v>7</v>
      </c>
      <c r="D235" s="97" t="s">
        <v>1228</v>
      </c>
      <c r="E235" s="98">
        <v>3800000</v>
      </c>
      <c r="F235" s="170">
        <v>51775</v>
      </c>
      <c r="G235" s="170">
        <v>0</v>
      </c>
      <c r="H235" s="172" t="s">
        <v>461</v>
      </c>
      <c r="I235" s="196">
        <v>1</v>
      </c>
    </row>
    <row r="236" spans="1:9" s="95" customFormat="1" x14ac:dyDescent="0.25">
      <c r="C236" s="96" t="s">
        <v>1196</v>
      </c>
      <c r="D236" s="97" t="s">
        <v>1229</v>
      </c>
      <c r="E236" s="98">
        <v>2795000</v>
      </c>
      <c r="F236" s="170">
        <v>69875</v>
      </c>
      <c r="G236" s="171">
        <v>69875</v>
      </c>
      <c r="H236" s="172" t="s">
        <v>461</v>
      </c>
      <c r="I236" s="196">
        <v>0</v>
      </c>
    </row>
    <row r="237" spans="1:9" ht="15" customHeight="1" x14ac:dyDescent="0.25">
      <c r="C237" s="48">
        <v>15</v>
      </c>
      <c r="D237" s="38" t="s">
        <v>890</v>
      </c>
      <c r="E237" s="94">
        <v>50236000</v>
      </c>
      <c r="F237" s="158">
        <f>7529170+684470</f>
        <v>8213640</v>
      </c>
      <c r="G237" s="159">
        <v>0</v>
      </c>
      <c r="H237" s="158">
        <f>7529170+684470</f>
        <v>8213640</v>
      </c>
      <c r="I237" s="92">
        <f>11+1</f>
        <v>12</v>
      </c>
    </row>
    <row r="238" spans="1:9" ht="15" customHeight="1" x14ac:dyDescent="0.25">
      <c r="C238" s="48"/>
      <c r="D238" s="38" t="s">
        <v>891</v>
      </c>
      <c r="E238" s="94">
        <v>8700000</v>
      </c>
      <c r="F238" s="158">
        <f>1652939.58+118537.5</f>
        <v>1771477.08</v>
      </c>
      <c r="G238" s="159">
        <v>0</v>
      </c>
      <c r="H238" s="158">
        <f>1652939.58+118537.5</f>
        <v>1771477.08</v>
      </c>
      <c r="I238" s="92">
        <f>14+1</f>
        <v>15</v>
      </c>
    </row>
    <row r="239" spans="1:9" x14ac:dyDescent="0.25">
      <c r="C239" s="48">
        <v>4</v>
      </c>
      <c r="D239" s="38" t="s">
        <v>892</v>
      </c>
      <c r="E239" s="94">
        <v>2861000</v>
      </c>
      <c r="F239" s="158">
        <f>198798+38980</f>
        <v>237778</v>
      </c>
      <c r="G239" s="158">
        <v>81858</v>
      </c>
      <c r="H239" s="173">
        <f>116940+38980</f>
        <v>155920</v>
      </c>
      <c r="I239" s="92">
        <f>3+1</f>
        <v>4</v>
      </c>
    </row>
    <row r="240" spans="1:9" ht="15.75" customHeight="1" x14ac:dyDescent="0.25">
      <c r="C240" s="227"/>
      <c r="D240" s="149" t="s">
        <v>1129</v>
      </c>
      <c r="E240" s="228">
        <v>5500000</v>
      </c>
      <c r="F240" s="230">
        <f>449625+74937.5</f>
        <v>524562.5</v>
      </c>
      <c r="G240" s="230">
        <v>0</v>
      </c>
      <c r="H240" s="230">
        <f>449625+74937.5</f>
        <v>524562.5</v>
      </c>
      <c r="I240" s="227">
        <f>6+1</f>
        <v>7</v>
      </c>
    </row>
    <row r="241" spans="1:9" ht="15.75" customHeight="1" thickBot="1" x14ac:dyDescent="0.3">
      <c r="C241" s="192"/>
      <c r="D241" s="262" t="s">
        <v>1358</v>
      </c>
      <c r="E241" s="263">
        <v>4700000</v>
      </c>
      <c r="F241" s="188">
        <v>61967.5</v>
      </c>
      <c r="G241" s="188">
        <v>0</v>
      </c>
      <c r="H241" s="188">
        <v>61967.5</v>
      </c>
      <c r="I241" s="192">
        <v>1</v>
      </c>
    </row>
    <row r="242" spans="1:9" ht="15" customHeight="1" x14ac:dyDescent="0.25">
      <c r="C242" s="92"/>
      <c r="D242" s="100" t="s">
        <v>944</v>
      </c>
      <c r="E242" s="101"/>
      <c r="F242" s="159"/>
      <c r="G242" s="159"/>
      <c r="H242" s="174"/>
      <c r="I242" s="92"/>
    </row>
    <row r="243" spans="1:9" ht="15" customHeight="1" x14ac:dyDescent="0.25">
      <c r="A243" s="282"/>
      <c r="C243" s="48">
        <v>37</v>
      </c>
      <c r="D243" s="38" t="s">
        <v>893</v>
      </c>
      <c r="E243" s="94">
        <v>12000000</v>
      </c>
      <c r="F243" s="173">
        <f>2768700+251700</f>
        <v>3020400</v>
      </c>
      <c r="G243" s="159">
        <v>0</v>
      </c>
      <c r="H243" s="173">
        <f>2768700+251700</f>
        <v>3020400</v>
      </c>
      <c r="I243" s="92">
        <f>11+1</f>
        <v>12</v>
      </c>
    </row>
    <row r="244" spans="1:9" x14ac:dyDescent="0.25">
      <c r="C244" s="48">
        <v>4</v>
      </c>
      <c r="D244" s="38" t="s">
        <v>940</v>
      </c>
      <c r="E244" s="94">
        <v>6400000</v>
      </c>
      <c r="F244" s="158">
        <v>130238</v>
      </c>
      <c r="G244" s="159">
        <v>130238</v>
      </c>
      <c r="H244" s="173">
        <v>0</v>
      </c>
      <c r="I244" s="92">
        <v>0</v>
      </c>
    </row>
    <row r="245" spans="1:9" ht="15" customHeight="1" x14ac:dyDescent="0.25">
      <c r="C245" s="48"/>
      <c r="D245" s="38" t="s">
        <v>941</v>
      </c>
      <c r="E245" s="94">
        <v>5586000</v>
      </c>
      <c r="F245" s="158">
        <f>1054404+117156</f>
        <v>1171560</v>
      </c>
      <c r="G245" s="159">
        <v>0</v>
      </c>
      <c r="H245" s="158">
        <f>1054404+117156</f>
        <v>1171560</v>
      </c>
      <c r="I245" s="92">
        <f>9+1</f>
        <v>10</v>
      </c>
    </row>
    <row r="246" spans="1:9" ht="15" customHeight="1" x14ac:dyDescent="0.25">
      <c r="C246" s="48"/>
      <c r="D246" s="38" t="s">
        <v>1155</v>
      </c>
      <c r="E246" s="94">
        <v>2400000</v>
      </c>
      <c r="F246" s="158">
        <f>251700+50340</f>
        <v>302040</v>
      </c>
      <c r="G246" s="159">
        <v>0</v>
      </c>
      <c r="H246" s="158">
        <f>251700+50340</f>
        <v>302040</v>
      </c>
      <c r="I246" s="92">
        <f>5+1</f>
        <v>6</v>
      </c>
    </row>
    <row r="247" spans="1:9" ht="15" customHeight="1" x14ac:dyDescent="0.25">
      <c r="C247" s="48"/>
      <c r="D247" s="37" t="s">
        <v>1125</v>
      </c>
      <c r="E247" s="93">
        <v>4400000</v>
      </c>
      <c r="F247" s="158">
        <f>535524+89254</f>
        <v>624778</v>
      </c>
      <c r="G247" s="159">
        <v>0</v>
      </c>
      <c r="H247" s="158">
        <f>535524+89254</f>
        <v>624778</v>
      </c>
      <c r="I247" s="92">
        <f>6+1</f>
        <v>7</v>
      </c>
    </row>
    <row r="248" spans="1:9" ht="15" customHeight="1" x14ac:dyDescent="0.25">
      <c r="C248" s="49">
        <v>4</v>
      </c>
      <c r="D248" s="38" t="s">
        <v>894</v>
      </c>
      <c r="E248" s="94">
        <v>12000000</v>
      </c>
      <c r="F248" s="158">
        <v>1761900</v>
      </c>
      <c r="G248" s="159">
        <v>1761900</v>
      </c>
      <c r="H248" s="173">
        <v>0</v>
      </c>
      <c r="I248" s="92">
        <v>0</v>
      </c>
    </row>
    <row r="249" spans="1:9" s="95" customFormat="1" ht="15" customHeight="1" x14ac:dyDescent="0.25">
      <c r="C249" s="96">
        <v>31</v>
      </c>
      <c r="D249" s="97" t="s">
        <v>1230</v>
      </c>
      <c r="E249" s="98">
        <v>3035000</v>
      </c>
      <c r="F249" s="170">
        <v>123126.5</v>
      </c>
      <c r="G249" s="171">
        <v>0</v>
      </c>
      <c r="H249" s="172" t="s">
        <v>461</v>
      </c>
      <c r="I249" s="196">
        <v>2</v>
      </c>
    </row>
    <row r="250" spans="1:9" ht="15" customHeight="1" x14ac:dyDescent="0.25">
      <c r="C250" s="48">
        <v>28</v>
      </c>
      <c r="D250" s="38" t="s">
        <v>895</v>
      </c>
      <c r="E250" s="94">
        <v>17969000</v>
      </c>
      <c r="F250" s="158">
        <f>3768842.5+376884.25</f>
        <v>4145726.75</v>
      </c>
      <c r="G250" s="159">
        <v>0</v>
      </c>
      <c r="H250" s="158">
        <f>3768842.5+376884.25</f>
        <v>4145726.75</v>
      </c>
      <c r="I250" s="92">
        <f>10+1</f>
        <v>11</v>
      </c>
    </row>
    <row r="251" spans="1:9" ht="15" customHeight="1" x14ac:dyDescent="0.25">
      <c r="C251" s="48"/>
      <c r="D251" s="38" t="s">
        <v>1036</v>
      </c>
      <c r="E251" s="94">
        <v>8400000</v>
      </c>
      <c r="F251" s="158">
        <f>1409520+176190</f>
        <v>1585710</v>
      </c>
      <c r="G251" s="159">
        <v>0</v>
      </c>
      <c r="H251" s="158">
        <f>1409520+176190</f>
        <v>1585710</v>
      </c>
      <c r="I251" s="92">
        <f>8+1</f>
        <v>9</v>
      </c>
    </row>
    <row r="252" spans="1:9" ht="15" customHeight="1" x14ac:dyDescent="0.25">
      <c r="C252" s="48"/>
      <c r="D252" s="97" t="s">
        <v>1356</v>
      </c>
      <c r="E252" s="98">
        <v>4000000</v>
      </c>
      <c r="F252" s="170">
        <v>922900</v>
      </c>
      <c r="G252" s="171">
        <v>0</v>
      </c>
      <c r="H252" s="172" t="s">
        <v>461</v>
      </c>
      <c r="I252" s="196">
        <v>11</v>
      </c>
    </row>
    <row r="253" spans="1:9" ht="15" customHeight="1" x14ac:dyDescent="0.25">
      <c r="C253" s="48"/>
      <c r="D253" s="37" t="s">
        <v>1276</v>
      </c>
      <c r="E253" s="94">
        <v>17300000</v>
      </c>
      <c r="F253" s="158">
        <f>701999+350999.5</f>
        <v>1052998.5</v>
      </c>
      <c r="G253" s="159">
        <v>0</v>
      </c>
      <c r="H253" s="158">
        <f>701999+350999.5</f>
        <v>1052998.5</v>
      </c>
      <c r="I253" s="92">
        <f>2+1</f>
        <v>3</v>
      </c>
    </row>
    <row r="254" spans="1:9" s="95" customFormat="1" x14ac:dyDescent="0.25">
      <c r="C254" s="96" t="s">
        <v>1168</v>
      </c>
      <c r="D254" s="97" t="s">
        <v>1231</v>
      </c>
      <c r="E254" s="98">
        <v>6100000</v>
      </c>
      <c r="F254" s="170">
        <v>383842.5</v>
      </c>
      <c r="G254" s="171">
        <v>383842.5</v>
      </c>
      <c r="H254" s="172">
        <v>0</v>
      </c>
      <c r="I254" s="196">
        <v>0</v>
      </c>
    </row>
    <row r="255" spans="1:9" x14ac:dyDescent="0.25">
      <c r="C255" s="48"/>
      <c r="D255" s="37" t="s">
        <v>1277</v>
      </c>
      <c r="E255" s="94">
        <v>2500000</v>
      </c>
      <c r="F255" s="261">
        <f>103633+51816.5</f>
        <v>155449.5</v>
      </c>
      <c r="G255" s="221">
        <v>0</v>
      </c>
      <c r="H255" s="261">
        <f>103633+51816.5</f>
        <v>155449.5</v>
      </c>
      <c r="I255" s="92">
        <f>2+1</f>
        <v>3</v>
      </c>
    </row>
    <row r="256" spans="1:9" ht="15" customHeight="1" x14ac:dyDescent="0.25">
      <c r="C256" s="48"/>
      <c r="D256" s="38" t="s">
        <v>942</v>
      </c>
      <c r="E256" s="94">
        <v>6349000</v>
      </c>
      <c r="F256" s="158">
        <f>1198392.75+133154.75</f>
        <v>1331547.5</v>
      </c>
      <c r="G256" s="159">
        <v>0</v>
      </c>
      <c r="H256" s="158">
        <f>1198392.75+133154.75</f>
        <v>1331547.5</v>
      </c>
      <c r="I256" s="92">
        <f>9+1</f>
        <v>10</v>
      </c>
    </row>
    <row r="257" spans="1:9" ht="15" customHeight="1" x14ac:dyDescent="0.25">
      <c r="C257" s="48"/>
      <c r="D257" s="37" t="s">
        <v>1303</v>
      </c>
      <c r="E257" s="94">
        <v>1100000</v>
      </c>
      <c r="F257" s="158">
        <f>23072.5+23072.5</f>
        <v>46145</v>
      </c>
      <c r="G257" s="159">
        <v>0</v>
      </c>
      <c r="H257" s="158">
        <f>23072.5+23072.5</f>
        <v>46145</v>
      </c>
      <c r="I257" s="92">
        <f>1+1</f>
        <v>2</v>
      </c>
    </row>
    <row r="258" spans="1:9" x14ac:dyDescent="0.25">
      <c r="C258" s="49" t="s">
        <v>1254</v>
      </c>
      <c r="D258" s="38" t="s">
        <v>896</v>
      </c>
      <c r="E258" s="94">
        <v>10750000</v>
      </c>
      <c r="F258" s="158">
        <f>2254985+225498.5</f>
        <v>2480483.5</v>
      </c>
      <c r="G258" s="159">
        <v>676495.5</v>
      </c>
      <c r="H258" s="173">
        <f>1578489.5+225498.5</f>
        <v>1803988</v>
      </c>
      <c r="I258" s="92">
        <f>7+1</f>
        <v>8</v>
      </c>
    </row>
    <row r="259" spans="1:9" ht="15.75" customHeight="1" x14ac:dyDescent="0.25">
      <c r="A259" s="282"/>
      <c r="C259" s="48">
        <v>15</v>
      </c>
      <c r="D259" s="37" t="s">
        <v>1328</v>
      </c>
      <c r="E259" s="94">
        <v>15000000</v>
      </c>
      <c r="F259" s="158">
        <f>1887750+314625</f>
        <v>2202375</v>
      </c>
      <c r="G259" s="158">
        <v>0</v>
      </c>
      <c r="H259" s="158">
        <f>1887750+314625</f>
        <v>2202375</v>
      </c>
      <c r="I259" s="92">
        <f>6+1</f>
        <v>7</v>
      </c>
    </row>
    <row r="261" spans="1:9" x14ac:dyDescent="0.25">
      <c r="C261" s="180" t="s">
        <v>1232</v>
      </c>
    </row>
  </sheetData>
  <autoFilter ref="C11:I259"/>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ignoredErrors>
    <ignoredError sqref="I5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view="pageBreakPreview" zoomScale="85" zoomScaleNormal="85" zoomScaleSheetLayoutView="85" workbookViewId="0">
      <selection activeCell="A8" sqref="A8"/>
    </sheetView>
  </sheetViews>
  <sheetFormatPr defaultRowHeight="15" x14ac:dyDescent="0.25"/>
  <cols>
    <col min="1" max="2" width="9.140625" style="65"/>
    <col min="3" max="3" width="14" style="111" customWidth="1"/>
    <col min="4" max="4" width="65" style="65" customWidth="1"/>
    <col min="5" max="5" width="23.85546875" style="107" bestFit="1" customWidth="1"/>
    <col min="6" max="6" width="27.5703125" style="108" customWidth="1"/>
    <col min="7" max="7" width="27.5703125" style="109" customWidth="1"/>
    <col min="8" max="8" width="24.140625" style="199" customWidth="1"/>
    <col min="9" max="9" width="22.28515625" style="110" bestFit="1" customWidth="1"/>
    <col min="10" max="16384" width="9.140625" style="65"/>
  </cols>
  <sheetData>
    <row r="1" spans="3:9" x14ac:dyDescent="0.25">
      <c r="C1" s="345" t="s">
        <v>1283</v>
      </c>
      <c r="D1" s="345"/>
      <c r="E1" s="345"/>
      <c r="F1" s="345"/>
      <c r="G1" s="345"/>
      <c r="H1" s="345"/>
      <c r="I1" s="345"/>
    </row>
    <row r="2" spans="3:9" x14ac:dyDescent="0.25">
      <c r="C2" s="346" t="s">
        <v>1400</v>
      </c>
      <c r="D2" s="346"/>
      <c r="E2" s="346"/>
      <c r="F2" s="346"/>
      <c r="G2" s="346"/>
      <c r="H2" s="346"/>
      <c r="I2" s="346"/>
    </row>
    <row r="3" spans="3:9" x14ac:dyDescent="0.25">
      <c r="C3" s="287"/>
      <c r="D3" s="287"/>
      <c r="E3" s="287"/>
      <c r="F3" s="66"/>
      <c r="G3" s="67"/>
      <c r="H3" s="197"/>
      <c r="I3" s="287"/>
    </row>
    <row r="4" spans="3:9" x14ac:dyDescent="0.25">
      <c r="C4" s="68"/>
      <c r="D4" s="287"/>
      <c r="E4" s="287"/>
      <c r="F4" s="66"/>
      <c r="G4" s="67"/>
      <c r="H4" s="197"/>
      <c r="I4" s="287"/>
    </row>
    <row r="5" spans="3:9" ht="17.25" x14ac:dyDescent="0.25">
      <c r="C5" s="69" t="s">
        <v>1109</v>
      </c>
      <c r="D5" s="70"/>
      <c r="E5" s="71">
        <v>204943827320</v>
      </c>
      <c r="F5" s="72"/>
      <c r="G5" s="73" t="s">
        <v>1401</v>
      </c>
      <c r="H5" s="292"/>
      <c r="I5" s="265">
        <f>SUM(Dividends!J114:J835)</f>
        <v>11831162032.206667</v>
      </c>
    </row>
    <row r="6" spans="3:9" ht="17.25" x14ac:dyDescent="0.25">
      <c r="C6" s="293" t="s">
        <v>1402</v>
      </c>
      <c r="D6" s="70"/>
      <c r="E6" s="112">
        <v>7460609239.9899998</v>
      </c>
      <c r="F6" s="72"/>
      <c r="G6" s="73" t="s">
        <v>899</v>
      </c>
      <c r="H6" s="294"/>
      <c r="I6" s="265">
        <f>SUM(I7:I9)</f>
        <v>394115688.11000001</v>
      </c>
    </row>
    <row r="7" spans="3:9" x14ac:dyDescent="0.25">
      <c r="C7" s="69"/>
      <c r="D7" s="70"/>
      <c r="E7" s="71"/>
      <c r="F7" s="72"/>
      <c r="G7" s="347" t="s">
        <v>1012</v>
      </c>
      <c r="H7" s="347"/>
      <c r="I7" s="266">
        <f>SUM(H13:H116)</f>
        <v>354743337.12</v>
      </c>
    </row>
    <row r="8" spans="3:9" s="185" customFormat="1" x14ac:dyDescent="0.25">
      <c r="C8" s="76"/>
      <c r="D8" s="77"/>
      <c r="E8" s="78"/>
      <c r="F8" s="72"/>
      <c r="G8" s="347" t="s">
        <v>1011</v>
      </c>
      <c r="H8" s="347"/>
      <c r="I8" s="266">
        <f>SUM(H118:H141)</f>
        <v>21929632.740000002</v>
      </c>
    </row>
    <row r="9" spans="3:9" s="185" customFormat="1" x14ac:dyDescent="0.25">
      <c r="C9" s="76"/>
      <c r="D9" s="77"/>
      <c r="E9" s="79"/>
      <c r="F9" s="72"/>
      <c r="G9" s="347" t="s">
        <v>904</v>
      </c>
      <c r="H9" s="347"/>
      <c r="I9" s="266">
        <f>SUM(H143:H154)</f>
        <v>17442718.25</v>
      </c>
    </row>
    <row r="10" spans="3:9" s="185" customFormat="1" x14ac:dyDescent="0.25">
      <c r="C10" s="80"/>
      <c r="D10" s="77"/>
      <c r="E10" s="79"/>
      <c r="F10" s="72"/>
      <c r="G10" s="81"/>
      <c r="H10" s="82"/>
      <c r="I10" s="75"/>
    </row>
    <row r="11" spans="3:9" ht="33" thickBot="1" x14ac:dyDescent="0.3">
      <c r="C11" s="83" t="s">
        <v>754</v>
      </c>
      <c r="D11" s="84" t="s">
        <v>817</v>
      </c>
      <c r="E11" s="113" t="s">
        <v>1110</v>
      </c>
      <c r="F11" s="85" t="s">
        <v>924</v>
      </c>
      <c r="G11" s="86" t="s">
        <v>925</v>
      </c>
      <c r="H11" s="85" t="s">
        <v>926</v>
      </c>
      <c r="I11" s="83" t="s">
        <v>927</v>
      </c>
    </row>
    <row r="12" spans="3:9" ht="15" customHeight="1" x14ac:dyDescent="0.25">
      <c r="C12" s="175"/>
      <c r="D12" s="176" t="s">
        <v>819</v>
      </c>
      <c r="E12" s="177"/>
      <c r="F12" s="178"/>
      <c r="G12" s="179"/>
      <c r="H12" s="198"/>
      <c r="I12" s="175"/>
    </row>
    <row r="13" spans="3:9" ht="15" customHeight="1" x14ac:dyDescent="0.25">
      <c r="C13" s="92">
        <v>15</v>
      </c>
      <c r="D13" s="148" t="s">
        <v>928</v>
      </c>
      <c r="E13" s="218">
        <v>16369000</v>
      </c>
      <c r="F13" s="173">
        <f>1841512.5+204612.5</f>
        <v>2046125</v>
      </c>
      <c r="G13" s="159">
        <v>0</v>
      </c>
      <c r="H13" s="173">
        <f>1841512.5+204612.5</f>
        <v>2046125</v>
      </c>
      <c r="I13" s="92">
        <f>9+1</f>
        <v>10</v>
      </c>
    </row>
    <row r="14" spans="3:9" ht="15" customHeight="1" x14ac:dyDescent="0.25">
      <c r="C14" s="92"/>
      <c r="D14" s="219" t="s">
        <v>1117</v>
      </c>
      <c r="E14" s="218">
        <v>3500000</v>
      </c>
      <c r="F14" s="158">
        <f>262500+43750</f>
        <v>306250</v>
      </c>
      <c r="G14" s="159">
        <v>0</v>
      </c>
      <c r="H14" s="158">
        <f>262500+43750</f>
        <v>306250</v>
      </c>
      <c r="I14" s="92">
        <f>6+1</f>
        <v>7</v>
      </c>
    </row>
    <row r="15" spans="3:9" ht="15" customHeight="1" x14ac:dyDescent="0.25">
      <c r="C15" s="92"/>
      <c r="D15" s="219" t="s">
        <v>1237</v>
      </c>
      <c r="E15" s="218">
        <v>6514000</v>
      </c>
      <c r="F15" s="173">
        <f>266280+88760</f>
        <v>355040</v>
      </c>
      <c r="G15" s="159">
        <v>0</v>
      </c>
      <c r="H15" s="173">
        <f>266280+88760</f>
        <v>355040</v>
      </c>
      <c r="I15" s="92">
        <f>3+1</f>
        <v>4</v>
      </c>
    </row>
    <row r="16" spans="3:9" ht="15" customHeight="1" x14ac:dyDescent="0.25">
      <c r="C16" s="48"/>
      <c r="D16" s="38" t="s">
        <v>1149</v>
      </c>
      <c r="E16" s="14">
        <v>3652000</v>
      </c>
      <c r="F16" s="173">
        <f>248837.5+49767.5</f>
        <v>298605</v>
      </c>
      <c r="G16" s="159">
        <v>0</v>
      </c>
      <c r="H16" s="173">
        <f>248837.5+49767.5</f>
        <v>298605</v>
      </c>
      <c r="I16" s="92">
        <f>5+1</f>
        <v>6</v>
      </c>
    </row>
    <row r="17" spans="1:9" ht="15" customHeight="1" x14ac:dyDescent="0.25">
      <c r="C17" s="48">
        <v>28</v>
      </c>
      <c r="D17" s="37" t="s">
        <v>820</v>
      </c>
      <c r="E17" s="94">
        <v>110000000</v>
      </c>
      <c r="F17" s="173">
        <f>19479166.67+1375000</f>
        <v>20854166.670000002</v>
      </c>
      <c r="G17" s="159">
        <v>0</v>
      </c>
      <c r="H17" s="173">
        <f>19479166.67+1375000</f>
        <v>20854166.670000002</v>
      </c>
      <c r="I17" s="92">
        <f>14+1</f>
        <v>15</v>
      </c>
    </row>
    <row r="18" spans="1:9" ht="15" customHeight="1" x14ac:dyDescent="0.25">
      <c r="C18" s="48"/>
      <c r="D18" s="37" t="s">
        <v>1118</v>
      </c>
      <c r="E18" s="94">
        <v>2000000</v>
      </c>
      <c r="F18" s="173">
        <f>163230+27205</f>
        <v>190435</v>
      </c>
      <c r="G18" s="159">
        <v>0</v>
      </c>
      <c r="H18" s="173">
        <f>163230+27205</f>
        <v>190435</v>
      </c>
      <c r="I18" s="92">
        <f>6+1</f>
        <v>7</v>
      </c>
    </row>
    <row r="19" spans="1:9" ht="15" customHeight="1" x14ac:dyDescent="0.25">
      <c r="C19" s="48"/>
      <c r="D19" s="37" t="s">
        <v>1275</v>
      </c>
      <c r="E19" s="94">
        <v>50000000</v>
      </c>
      <c r="F19" s="173">
        <f>1250000+625000</f>
        <v>1875000</v>
      </c>
      <c r="G19" s="159">
        <v>0</v>
      </c>
      <c r="H19" s="173">
        <f>1250000+625000</f>
        <v>1875000</v>
      </c>
      <c r="I19" s="92">
        <f>2+1</f>
        <v>3</v>
      </c>
    </row>
    <row r="20" spans="1:9" ht="15" customHeight="1" x14ac:dyDescent="0.25">
      <c r="C20" s="48">
        <v>15</v>
      </c>
      <c r="D20" s="38" t="s">
        <v>1071</v>
      </c>
      <c r="E20" s="93">
        <v>13179000</v>
      </c>
      <c r="F20" s="158">
        <f>1153162.5+164737.5</f>
        <v>1317900</v>
      </c>
      <c r="G20" s="159">
        <v>0</v>
      </c>
      <c r="H20" s="158">
        <f>1153162.5+164737.5</f>
        <v>1317900</v>
      </c>
      <c r="I20" s="92">
        <f>7+1</f>
        <v>8</v>
      </c>
    </row>
    <row r="21" spans="1:9" ht="15" customHeight="1" x14ac:dyDescent="0.25">
      <c r="C21" s="48"/>
      <c r="D21" s="37" t="s">
        <v>1120</v>
      </c>
      <c r="E21" s="94">
        <v>1706000</v>
      </c>
      <c r="F21" s="158">
        <f>139425+23237.5</f>
        <v>162662.5</v>
      </c>
      <c r="G21" s="159">
        <v>0</v>
      </c>
      <c r="H21" s="158">
        <f>139425+23237.5</f>
        <v>162662.5</v>
      </c>
      <c r="I21" s="92">
        <f>6+1</f>
        <v>7</v>
      </c>
    </row>
    <row r="22" spans="1:9" ht="15" customHeight="1" x14ac:dyDescent="0.25">
      <c r="C22" s="48">
        <v>27</v>
      </c>
      <c r="D22" s="38" t="s">
        <v>822</v>
      </c>
      <c r="E22" s="94">
        <v>21750000</v>
      </c>
      <c r="F22" s="158">
        <f>3806250+271875</f>
        <v>4078125</v>
      </c>
      <c r="G22" s="159">
        <v>0</v>
      </c>
      <c r="H22" s="158">
        <f>3806250+271875</f>
        <v>4078125</v>
      </c>
      <c r="I22" s="92">
        <f>14+1</f>
        <v>15</v>
      </c>
    </row>
    <row r="23" spans="1:9" ht="15" customHeight="1" x14ac:dyDescent="0.25">
      <c r="C23" s="48"/>
      <c r="D23" s="38" t="s">
        <v>929</v>
      </c>
      <c r="E23" s="94">
        <v>7500000</v>
      </c>
      <c r="F23" s="261">
        <f>919687.5+102187.5</f>
        <v>1021875</v>
      </c>
      <c r="G23" s="159">
        <v>0</v>
      </c>
      <c r="H23" s="158">
        <f>919687.5+102187.5</f>
        <v>1021875</v>
      </c>
      <c r="I23" s="92">
        <f>9+1</f>
        <v>10</v>
      </c>
    </row>
    <row r="24" spans="1:9" ht="15" customHeight="1" x14ac:dyDescent="0.25">
      <c r="C24" s="48">
        <v>15</v>
      </c>
      <c r="D24" s="38" t="s">
        <v>823</v>
      </c>
      <c r="E24" s="94">
        <v>20093000</v>
      </c>
      <c r="F24" s="158">
        <f>3011525+273775</f>
        <v>3285300</v>
      </c>
      <c r="G24" s="159">
        <v>0</v>
      </c>
      <c r="H24" s="158">
        <f>3011525+273775</f>
        <v>3285300</v>
      </c>
      <c r="I24" s="92">
        <f>11+1</f>
        <v>12</v>
      </c>
    </row>
    <row r="25" spans="1:9" ht="15" customHeight="1" x14ac:dyDescent="0.25">
      <c r="C25" s="48">
        <v>27</v>
      </c>
      <c r="D25" s="38" t="s">
        <v>824</v>
      </c>
      <c r="E25" s="94">
        <v>38000000</v>
      </c>
      <c r="F25" s="158">
        <f>5177500+517750</f>
        <v>5695250</v>
      </c>
      <c r="G25" s="159">
        <v>0</v>
      </c>
      <c r="H25" s="158">
        <f>5177500+517750</f>
        <v>5695250</v>
      </c>
      <c r="I25" s="92">
        <f>10+1</f>
        <v>11</v>
      </c>
    </row>
    <row r="26" spans="1:9" s="95" customFormat="1" ht="15" customHeight="1" x14ac:dyDescent="0.25">
      <c r="A26" s="65"/>
      <c r="C26" s="49" t="s">
        <v>1240</v>
      </c>
      <c r="D26" s="38" t="s">
        <v>930</v>
      </c>
      <c r="E26" s="94">
        <v>15000000</v>
      </c>
      <c r="F26" s="158">
        <f>1687500+187500</f>
        <v>1875000</v>
      </c>
      <c r="G26" s="159">
        <v>0</v>
      </c>
      <c r="H26" s="158">
        <f>1687500+187500</f>
        <v>1875000</v>
      </c>
      <c r="I26" s="92">
        <f>9+1</f>
        <v>10</v>
      </c>
    </row>
    <row r="27" spans="1:9" ht="15" customHeight="1" x14ac:dyDescent="0.25">
      <c r="C27" s="48"/>
      <c r="D27" s="38" t="s">
        <v>1026</v>
      </c>
      <c r="E27" s="94">
        <v>4656000</v>
      </c>
      <c r="F27" s="158">
        <f>507540+63442.5</f>
        <v>570982.5</v>
      </c>
      <c r="G27" s="159">
        <v>0</v>
      </c>
      <c r="H27" s="158">
        <f>507540+63442.5</f>
        <v>570982.5</v>
      </c>
      <c r="I27" s="92">
        <f>8+1</f>
        <v>9</v>
      </c>
    </row>
    <row r="28" spans="1:9" ht="15" customHeight="1" x14ac:dyDescent="0.25">
      <c r="C28" s="48"/>
      <c r="D28" s="38" t="s">
        <v>931</v>
      </c>
      <c r="E28" s="94">
        <v>5100000</v>
      </c>
      <c r="F28" s="158">
        <f>625387.5+69487.5</f>
        <v>694875</v>
      </c>
      <c r="G28" s="159">
        <v>0</v>
      </c>
      <c r="H28" s="158">
        <f>625387.5+69487.5</f>
        <v>694875</v>
      </c>
      <c r="I28" s="92">
        <f>9+1</f>
        <v>10</v>
      </c>
    </row>
    <row r="29" spans="1:9" ht="15" customHeight="1" x14ac:dyDescent="0.25">
      <c r="C29" s="48"/>
      <c r="D29" s="37" t="s">
        <v>1121</v>
      </c>
      <c r="E29" s="93">
        <v>9201000</v>
      </c>
      <c r="F29" s="158">
        <f>690075+115012.5</f>
        <v>805087.5</v>
      </c>
      <c r="G29" s="159">
        <v>0</v>
      </c>
      <c r="H29" s="173">
        <f>690075+115012.5</f>
        <v>805087.5</v>
      </c>
      <c r="I29" s="92">
        <f>6+1</f>
        <v>7</v>
      </c>
    </row>
    <row r="30" spans="1:9" ht="15" customHeight="1" x14ac:dyDescent="0.25">
      <c r="C30" s="48">
        <v>15</v>
      </c>
      <c r="D30" s="38" t="s">
        <v>825</v>
      </c>
      <c r="E30" s="94">
        <v>11560000</v>
      </c>
      <c r="F30" s="158">
        <f>1589500+144500</f>
        <v>1734000</v>
      </c>
      <c r="G30" s="159">
        <v>0</v>
      </c>
      <c r="H30" s="173">
        <f>1589500+144500</f>
        <v>1734000</v>
      </c>
      <c r="I30" s="92">
        <f>11+1</f>
        <v>12</v>
      </c>
    </row>
    <row r="31" spans="1:9" ht="15" customHeight="1" x14ac:dyDescent="0.25">
      <c r="C31" s="48">
        <v>15</v>
      </c>
      <c r="D31" s="37" t="s">
        <v>1122</v>
      </c>
      <c r="E31" s="94">
        <v>22500000</v>
      </c>
      <c r="F31" s="158">
        <f>1839375+306562.5</f>
        <v>2145937.5</v>
      </c>
      <c r="G31" s="159">
        <v>0</v>
      </c>
      <c r="H31" s="173">
        <f>1839375+306562.5</f>
        <v>2145937.5</v>
      </c>
      <c r="I31" s="92">
        <f>6+1</f>
        <v>7</v>
      </c>
    </row>
    <row r="32" spans="1:9" ht="15" customHeight="1" x14ac:dyDescent="0.25">
      <c r="C32" s="48">
        <v>37</v>
      </c>
      <c r="D32" s="38" t="s">
        <v>826</v>
      </c>
      <c r="E32" s="94">
        <v>11385000</v>
      </c>
      <c r="F32" s="158">
        <f>1565437.5+142312.5</f>
        <v>1707750</v>
      </c>
      <c r="G32" s="159">
        <v>0</v>
      </c>
      <c r="H32" s="173">
        <f>1565437.5+142312.5</f>
        <v>1707750</v>
      </c>
      <c r="I32" s="92">
        <f>11+1</f>
        <v>12</v>
      </c>
    </row>
    <row r="33" spans="1:9" ht="15" customHeight="1" x14ac:dyDescent="0.25">
      <c r="C33" s="48">
        <v>28</v>
      </c>
      <c r="D33" s="38" t="s">
        <v>827</v>
      </c>
      <c r="E33" s="94">
        <v>32668000</v>
      </c>
      <c r="F33" s="158">
        <f>5308550+408350</f>
        <v>5716900</v>
      </c>
      <c r="G33" s="159">
        <v>0</v>
      </c>
      <c r="H33" s="173">
        <f>5308550+408350</f>
        <v>5716900</v>
      </c>
      <c r="I33" s="92">
        <f>13+1</f>
        <v>14</v>
      </c>
    </row>
    <row r="34" spans="1:9" ht="16.5" customHeight="1" x14ac:dyDescent="0.25">
      <c r="C34" s="48">
        <v>27</v>
      </c>
      <c r="D34" s="38" t="s">
        <v>828</v>
      </c>
      <c r="E34" s="94">
        <v>24990000</v>
      </c>
      <c r="F34" s="158">
        <f>3745500+340500</f>
        <v>4086000</v>
      </c>
      <c r="G34" s="159">
        <v>0</v>
      </c>
      <c r="H34" s="173">
        <f>3745500+340500</f>
        <v>4086000</v>
      </c>
      <c r="I34" s="92">
        <f>11+1</f>
        <v>12</v>
      </c>
    </row>
    <row r="35" spans="1:9" ht="15" customHeight="1" x14ac:dyDescent="0.25">
      <c r="C35" s="48"/>
      <c r="D35" s="38" t="s">
        <v>829</v>
      </c>
      <c r="E35" s="94">
        <v>6300000</v>
      </c>
      <c r="F35" s="158">
        <f>1030050+85837.5</f>
        <v>1115887.5</v>
      </c>
      <c r="G35" s="159">
        <v>0</v>
      </c>
      <c r="H35" s="173">
        <f>1030050+85837.5</f>
        <v>1115887.5</v>
      </c>
      <c r="I35" s="92">
        <f>12+1</f>
        <v>13</v>
      </c>
    </row>
    <row r="36" spans="1:9" ht="15" customHeight="1" x14ac:dyDescent="0.25">
      <c r="C36" s="48">
        <v>28</v>
      </c>
      <c r="D36" s="38" t="s">
        <v>830</v>
      </c>
      <c r="E36" s="94">
        <v>300000000</v>
      </c>
      <c r="F36" s="158">
        <f>41250000+3750000</f>
        <v>45000000</v>
      </c>
      <c r="G36" s="159">
        <v>0</v>
      </c>
      <c r="H36" s="173">
        <f>41250000+3750000</f>
        <v>45000000</v>
      </c>
      <c r="I36" s="92">
        <f>11+1</f>
        <v>12</v>
      </c>
    </row>
    <row r="37" spans="1:9" ht="15" customHeight="1" x14ac:dyDescent="0.25">
      <c r="C37" s="48"/>
      <c r="D37" s="38" t="s">
        <v>831</v>
      </c>
      <c r="E37" s="94">
        <v>9439000</v>
      </c>
      <c r="F37" s="158">
        <f>1297862.5+117987.5</f>
        <v>1415850</v>
      </c>
      <c r="G37" s="159">
        <v>0</v>
      </c>
      <c r="H37" s="173">
        <f>1297862.5+117987.5</f>
        <v>1415850</v>
      </c>
      <c r="I37" s="92">
        <f>11+1</f>
        <v>12</v>
      </c>
    </row>
    <row r="38" spans="1:9" ht="15" customHeight="1" x14ac:dyDescent="0.25">
      <c r="C38" s="48"/>
      <c r="D38" s="38" t="s">
        <v>1073</v>
      </c>
      <c r="E38" s="99">
        <v>9950000</v>
      </c>
      <c r="F38" s="158">
        <f>870625+124375</f>
        <v>995000</v>
      </c>
      <c r="G38" s="159">
        <v>0</v>
      </c>
      <c r="H38" s="173">
        <f>870625+124375</f>
        <v>995000</v>
      </c>
      <c r="I38" s="92">
        <f>7+1</f>
        <v>8</v>
      </c>
    </row>
    <row r="39" spans="1:9" ht="15" customHeight="1" x14ac:dyDescent="0.25">
      <c r="C39" s="48">
        <v>15</v>
      </c>
      <c r="D39" s="37" t="s">
        <v>1123</v>
      </c>
      <c r="E39" s="99">
        <v>16015000</v>
      </c>
      <c r="F39" s="158">
        <f>1265925+210987.5</f>
        <v>1476912.5</v>
      </c>
      <c r="G39" s="159">
        <v>0</v>
      </c>
      <c r="H39" s="173">
        <f>1265925+210987.5</f>
        <v>1476912.5</v>
      </c>
      <c r="I39" s="92">
        <f>6+1</f>
        <v>7</v>
      </c>
    </row>
    <row r="40" spans="1:9" ht="15" customHeight="1" x14ac:dyDescent="0.25">
      <c r="C40" s="48">
        <v>15</v>
      </c>
      <c r="D40" s="37" t="s">
        <v>1150</v>
      </c>
      <c r="E40" s="99">
        <v>10000000</v>
      </c>
      <c r="F40" s="158">
        <f>681250+136250</f>
        <v>817500</v>
      </c>
      <c r="G40" s="159">
        <v>0</v>
      </c>
      <c r="H40" s="173">
        <f>681250+136250</f>
        <v>817500</v>
      </c>
      <c r="I40" s="92">
        <f>5+1</f>
        <v>6</v>
      </c>
    </row>
    <row r="41" spans="1:9" ht="15" customHeight="1" x14ac:dyDescent="0.25">
      <c r="C41" s="48"/>
      <c r="D41" s="37" t="s">
        <v>1234</v>
      </c>
      <c r="E41" s="99">
        <v>28000000</v>
      </c>
      <c r="F41" s="158">
        <f>1050000+350000</f>
        <v>1400000</v>
      </c>
      <c r="G41" s="159">
        <v>0</v>
      </c>
      <c r="H41" s="173">
        <f>1050000+350000</f>
        <v>1400000</v>
      </c>
      <c r="I41" s="92">
        <f>3+1</f>
        <v>4</v>
      </c>
    </row>
    <row r="42" spans="1:9" ht="15" customHeight="1" x14ac:dyDescent="0.25">
      <c r="C42" s="48">
        <v>15</v>
      </c>
      <c r="D42" s="37" t="s">
        <v>1124</v>
      </c>
      <c r="E42" s="93">
        <v>17806000</v>
      </c>
      <c r="F42" s="158">
        <f>1455600+242600</f>
        <v>1698200</v>
      </c>
      <c r="G42" s="159">
        <v>0</v>
      </c>
      <c r="H42" s="158">
        <f>1455600+242600</f>
        <v>1698200</v>
      </c>
      <c r="I42" s="92">
        <f>6+1</f>
        <v>7</v>
      </c>
    </row>
    <row r="43" spans="1:9" ht="15" customHeight="1" x14ac:dyDescent="0.25">
      <c r="C43" s="48"/>
      <c r="D43" s="38" t="s">
        <v>1027</v>
      </c>
      <c r="E43" s="94">
        <v>2400000</v>
      </c>
      <c r="F43" s="158">
        <f>261600+32700</f>
        <v>294300</v>
      </c>
      <c r="G43" s="159">
        <v>0</v>
      </c>
      <c r="H43" s="158">
        <f>261600+32700</f>
        <v>294300</v>
      </c>
      <c r="I43" s="92">
        <f>8+1</f>
        <v>9</v>
      </c>
    </row>
    <row r="44" spans="1:9" ht="15" customHeight="1" x14ac:dyDescent="0.25">
      <c r="C44" s="48"/>
      <c r="D44" s="37" t="s">
        <v>1177</v>
      </c>
      <c r="E44" s="94">
        <v>9000000</v>
      </c>
      <c r="F44" s="158">
        <f>490500+122625</f>
        <v>613125</v>
      </c>
      <c r="G44" s="159">
        <v>0</v>
      </c>
      <c r="H44" s="158">
        <f>490500+122625</f>
        <v>613125</v>
      </c>
      <c r="I44" s="92">
        <f>4+1</f>
        <v>5</v>
      </c>
    </row>
    <row r="45" spans="1:9" ht="15" customHeight="1" x14ac:dyDescent="0.25">
      <c r="C45" s="48">
        <v>15</v>
      </c>
      <c r="D45" s="38" t="s">
        <v>832</v>
      </c>
      <c r="E45" s="94">
        <v>146053000</v>
      </c>
      <c r="F45" s="158">
        <f>25869740+1989980</f>
        <v>27859720</v>
      </c>
      <c r="G45" s="159">
        <v>0</v>
      </c>
      <c r="H45" s="158">
        <f>25869740+1989980</f>
        <v>27859720</v>
      </c>
      <c r="I45" s="92">
        <f>13+1</f>
        <v>14</v>
      </c>
    </row>
    <row r="46" spans="1:9" ht="15" customHeight="1" x14ac:dyDescent="0.25">
      <c r="C46" s="48">
        <v>15</v>
      </c>
      <c r="D46" s="38" t="s">
        <v>1074</v>
      </c>
      <c r="E46" s="93">
        <v>24000000</v>
      </c>
      <c r="F46" s="158">
        <f>2100000+300000</f>
        <v>2400000</v>
      </c>
      <c r="G46" s="159">
        <v>0</v>
      </c>
      <c r="H46" s="158">
        <f>2100000+300000</f>
        <v>2400000</v>
      </c>
      <c r="I46" s="92">
        <f>7+1</f>
        <v>8</v>
      </c>
    </row>
    <row r="47" spans="1:9" ht="15" customHeight="1" x14ac:dyDescent="0.25">
      <c r="A47" s="282"/>
      <c r="C47" s="48" t="s">
        <v>1380</v>
      </c>
      <c r="D47" s="38" t="s">
        <v>1378</v>
      </c>
      <c r="E47" s="94">
        <v>14800000</v>
      </c>
      <c r="F47" s="158">
        <v>2016500</v>
      </c>
      <c r="G47" s="159">
        <v>0</v>
      </c>
      <c r="H47" s="158">
        <v>2016500</v>
      </c>
      <c r="I47" s="92">
        <v>10</v>
      </c>
    </row>
    <row r="48" spans="1:9" x14ac:dyDescent="0.25">
      <c r="A48" s="282"/>
      <c r="C48" s="48">
        <v>4</v>
      </c>
      <c r="D48" s="38" t="s">
        <v>833</v>
      </c>
      <c r="E48" s="94">
        <v>11000000</v>
      </c>
      <c r="F48" s="158">
        <f>299750+149875</f>
        <v>449625</v>
      </c>
      <c r="G48" s="159">
        <v>149875</v>
      </c>
      <c r="H48" s="173">
        <f>149875+149875</f>
        <v>299750</v>
      </c>
      <c r="I48" s="92">
        <f>1+1</f>
        <v>2</v>
      </c>
    </row>
    <row r="49" spans="1:9" ht="15" customHeight="1" x14ac:dyDescent="0.25">
      <c r="C49" s="48">
        <v>15</v>
      </c>
      <c r="D49" s="38" t="s">
        <v>834</v>
      </c>
      <c r="E49" s="94">
        <v>21042000</v>
      </c>
      <c r="F49" s="158">
        <f>3440340+286695</f>
        <v>3727035</v>
      </c>
      <c r="G49" s="159">
        <v>0</v>
      </c>
      <c r="H49" s="158">
        <f>3440340+286695</f>
        <v>3727035</v>
      </c>
      <c r="I49" s="92">
        <f>12+1</f>
        <v>13</v>
      </c>
    </row>
    <row r="50" spans="1:9" ht="15" customHeight="1" x14ac:dyDescent="0.25">
      <c r="C50" s="48"/>
      <c r="D50" s="38" t="s">
        <v>835</v>
      </c>
      <c r="E50" s="94">
        <v>6657000</v>
      </c>
      <c r="F50" s="158">
        <f>966786.67+87712.5</f>
        <v>1054499.17</v>
      </c>
      <c r="G50" s="159">
        <v>0</v>
      </c>
      <c r="H50" s="158">
        <f>966786.67+87712.5</f>
        <v>1054499.17</v>
      </c>
      <c r="I50" s="92">
        <f>11+1</f>
        <v>12</v>
      </c>
    </row>
    <row r="51" spans="1:9" ht="15" customHeight="1" x14ac:dyDescent="0.25">
      <c r="C51" s="48">
        <v>28</v>
      </c>
      <c r="D51" s="37" t="s">
        <v>836</v>
      </c>
      <c r="E51" s="94">
        <v>295400000</v>
      </c>
      <c r="F51" s="158">
        <f>52322725+4024825</f>
        <v>56347550</v>
      </c>
      <c r="G51" s="159">
        <v>0</v>
      </c>
      <c r="H51" s="158">
        <f>52322725+4024825</f>
        <v>56347550</v>
      </c>
      <c r="I51" s="92">
        <f>13+1</f>
        <v>14</v>
      </c>
    </row>
    <row r="52" spans="1:9" ht="15" customHeight="1" x14ac:dyDescent="0.25">
      <c r="C52" s="48">
        <v>15</v>
      </c>
      <c r="D52" s="38" t="s">
        <v>1028</v>
      </c>
      <c r="E52" s="94">
        <v>20000000</v>
      </c>
      <c r="F52" s="158">
        <f>2000000+250000</f>
        <v>2250000</v>
      </c>
      <c r="G52" s="159">
        <v>0</v>
      </c>
      <c r="H52" s="158">
        <f>2000000+250000</f>
        <v>2250000</v>
      </c>
      <c r="I52" s="92">
        <f>8+1</f>
        <v>9</v>
      </c>
    </row>
    <row r="53" spans="1:9" ht="15" customHeight="1" x14ac:dyDescent="0.25">
      <c r="C53" s="48"/>
      <c r="D53" s="37" t="s">
        <v>1175</v>
      </c>
      <c r="E53" s="94">
        <v>15349000</v>
      </c>
      <c r="F53" s="158">
        <f>836480+209120</f>
        <v>1045600</v>
      </c>
      <c r="G53" s="159">
        <v>0</v>
      </c>
      <c r="H53" s="158">
        <f>836480+209120</f>
        <v>1045600</v>
      </c>
      <c r="I53" s="92">
        <f>4+1</f>
        <v>5</v>
      </c>
    </row>
    <row r="54" spans="1:9" ht="15" customHeight="1" x14ac:dyDescent="0.25">
      <c r="C54" s="48">
        <v>28</v>
      </c>
      <c r="D54" s="38" t="s">
        <v>837</v>
      </c>
      <c r="E54" s="94">
        <v>33000000</v>
      </c>
      <c r="F54" s="158">
        <f>4537500+412500</f>
        <v>4950000</v>
      </c>
      <c r="G54" s="159">
        <v>0</v>
      </c>
      <c r="H54" s="158">
        <f>4537500+412500</f>
        <v>4950000</v>
      </c>
      <c r="I54" s="92">
        <f>11+1</f>
        <v>12</v>
      </c>
    </row>
    <row r="55" spans="1:9" ht="15" customHeight="1" x14ac:dyDescent="0.25">
      <c r="C55" s="48"/>
      <c r="D55" s="38" t="s">
        <v>838</v>
      </c>
      <c r="E55" s="94">
        <v>5500000</v>
      </c>
      <c r="F55" s="158">
        <f>824312.5+74937.5</f>
        <v>899250</v>
      </c>
      <c r="G55" s="159">
        <v>0</v>
      </c>
      <c r="H55" s="158">
        <f>824312.5+74937.5</f>
        <v>899250</v>
      </c>
      <c r="I55" s="92">
        <f>11+1</f>
        <v>12</v>
      </c>
    </row>
    <row r="56" spans="1:9" ht="15" customHeight="1" x14ac:dyDescent="0.25">
      <c r="C56" s="48">
        <v>15</v>
      </c>
      <c r="D56" s="38" t="s">
        <v>1029</v>
      </c>
      <c r="E56" s="94">
        <v>30000000</v>
      </c>
      <c r="F56" s="158">
        <f>3000000+375000</f>
        <v>3375000</v>
      </c>
      <c r="G56" s="159">
        <v>0</v>
      </c>
      <c r="H56" s="158">
        <f>3000000+375000</f>
        <v>3375000</v>
      </c>
      <c r="I56" s="92">
        <f>8+1</f>
        <v>9</v>
      </c>
    </row>
    <row r="57" spans="1:9" ht="15" customHeight="1" x14ac:dyDescent="0.25">
      <c r="C57" s="48"/>
      <c r="D57" s="37" t="s">
        <v>1236</v>
      </c>
      <c r="E57" s="94">
        <v>266657000</v>
      </c>
      <c r="F57" s="158">
        <f>9999637.5+3333212.5</f>
        <v>13332850</v>
      </c>
      <c r="G57" s="159">
        <v>0</v>
      </c>
      <c r="H57" s="158">
        <f>9999637.5+3333212.5</f>
        <v>13332850</v>
      </c>
      <c r="I57" s="92">
        <f>3+1</f>
        <v>4</v>
      </c>
    </row>
    <row r="58" spans="1:9" ht="15" customHeight="1" x14ac:dyDescent="0.25">
      <c r="C58" s="48">
        <v>15</v>
      </c>
      <c r="D58" s="38" t="s">
        <v>1030</v>
      </c>
      <c r="E58" s="94">
        <v>20471000</v>
      </c>
      <c r="F58" s="158">
        <f>2231420+278927.5</f>
        <v>2510347.5</v>
      </c>
      <c r="G58" s="159">
        <v>0</v>
      </c>
      <c r="H58" s="158">
        <f>2231420+278927.5</f>
        <v>2510347.5</v>
      </c>
      <c r="I58" s="92">
        <f>8+1</f>
        <v>9</v>
      </c>
    </row>
    <row r="59" spans="1:9" ht="15" customHeight="1" x14ac:dyDescent="0.25">
      <c r="C59" s="48">
        <v>15</v>
      </c>
      <c r="D59" s="38" t="s">
        <v>840</v>
      </c>
      <c r="E59" s="94">
        <v>3076000</v>
      </c>
      <c r="F59" s="158">
        <f>538374.89+41915</f>
        <v>580289.89</v>
      </c>
      <c r="G59" s="159">
        <v>0</v>
      </c>
      <c r="H59" s="158">
        <f>538374.89+41915</f>
        <v>580289.89</v>
      </c>
      <c r="I59" s="92">
        <f>13+1</f>
        <v>14</v>
      </c>
    </row>
    <row r="60" spans="1:9" ht="15" customHeight="1" x14ac:dyDescent="0.25">
      <c r="C60" s="48"/>
      <c r="D60" s="38" t="s">
        <v>1075</v>
      </c>
      <c r="E60" s="93">
        <v>9993000</v>
      </c>
      <c r="F60" s="158">
        <f>953137.5+136162.5</f>
        <v>1089300</v>
      </c>
      <c r="G60" s="159">
        <v>0</v>
      </c>
      <c r="H60" s="158">
        <f>953137.5+136162.5</f>
        <v>1089300</v>
      </c>
      <c r="I60" s="92">
        <f>7+1</f>
        <v>8</v>
      </c>
    </row>
    <row r="61" spans="1:9" x14ac:dyDescent="0.25">
      <c r="C61" s="48">
        <v>4</v>
      </c>
      <c r="D61" s="38" t="s">
        <v>843</v>
      </c>
      <c r="E61" s="94">
        <v>6800000</v>
      </c>
      <c r="F61" s="158">
        <f>935000+85000</f>
        <v>1020000</v>
      </c>
      <c r="G61" s="159">
        <v>170000</v>
      </c>
      <c r="H61" s="173">
        <f>765000+85000</f>
        <v>850000</v>
      </c>
      <c r="I61" s="92">
        <f>9+1</f>
        <v>10</v>
      </c>
    </row>
    <row r="62" spans="1:9" ht="15" customHeight="1" x14ac:dyDescent="0.25">
      <c r="C62" s="48">
        <v>15</v>
      </c>
      <c r="D62" s="38" t="s">
        <v>1076</v>
      </c>
      <c r="E62" s="93">
        <v>12895000</v>
      </c>
      <c r="F62" s="158">
        <f>1128312.5+161187.5</f>
        <v>1289500</v>
      </c>
      <c r="G62" s="159">
        <v>0</v>
      </c>
      <c r="H62" s="158">
        <f>1128312.5+161187.5</f>
        <v>1289500</v>
      </c>
      <c r="I62" s="92">
        <f>7+1</f>
        <v>8</v>
      </c>
    </row>
    <row r="63" spans="1:9" ht="15" customHeight="1" x14ac:dyDescent="0.25">
      <c r="C63" s="48"/>
      <c r="D63" s="38" t="s">
        <v>1077</v>
      </c>
      <c r="E63" s="93">
        <v>6700000</v>
      </c>
      <c r="F63" s="158">
        <f>639012.5+91287.5</f>
        <v>730300</v>
      </c>
      <c r="G63" s="159">
        <v>0</v>
      </c>
      <c r="H63" s="158">
        <f>639012.5+91287.5</f>
        <v>730300</v>
      </c>
      <c r="I63" s="92">
        <f>7+1</f>
        <v>8</v>
      </c>
    </row>
    <row r="64" spans="1:9" ht="15" customHeight="1" x14ac:dyDescent="0.25">
      <c r="A64" s="282"/>
      <c r="C64" s="48">
        <v>15</v>
      </c>
      <c r="D64" s="220" t="s">
        <v>1078</v>
      </c>
      <c r="E64" s="99">
        <v>26000000</v>
      </c>
      <c r="F64" s="158">
        <f>2275000+325000</f>
        <v>2600000</v>
      </c>
      <c r="G64" s="159">
        <v>0</v>
      </c>
      <c r="H64" s="158">
        <f>2275000+325000</f>
        <v>2600000</v>
      </c>
      <c r="I64" s="92">
        <f>7+1</f>
        <v>8</v>
      </c>
    </row>
    <row r="65" spans="1:9" ht="15" customHeight="1" x14ac:dyDescent="0.25">
      <c r="C65" s="48">
        <v>4</v>
      </c>
      <c r="D65" s="38" t="s">
        <v>845</v>
      </c>
      <c r="E65" s="94">
        <v>5976000</v>
      </c>
      <c r="F65" s="158">
        <f>128588.25+78727.5</f>
        <v>207315.75</v>
      </c>
      <c r="G65" s="159">
        <v>128588.25</v>
      </c>
      <c r="H65" s="173">
        <v>78727.5</v>
      </c>
      <c r="I65" s="92">
        <f>0+1</f>
        <v>1</v>
      </c>
    </row>
    <row r="66" spans="1:9" ht="15" customHeight="1" x14ac:dyDescent="0.25">
      <c r="C66" s="48">
        <v>15</v>
      </c>
      <c r="D66" s="38" t="s">
        <v>846</v>
      </c>
      <c r="E66" s="94">
        <v>6900000</v>
      </c>
      <c r="F66" s="158">
        <f>1222162.5+94012.5</f>
        <v>1316175</v>
      </c>
      <c r="G66" s="159">
        <v>0</v>
      </c>
      <c r="H66" s="158">
        <f>1222162.5+94012.5</f>
        <v>1316175</v>
      </c>
      <c r="I66" s="92">
        <f>13+1</f>
        <v>14</v>
      </c>
    </row>
    <row r="67" spans="1:9" x14ac:dyDescent="0.25">
      <c r="C67" s="49" t="s">
        <v>1144</v>
      </c>
      <c r="D67" s="38" t="s">
        <v>847</v>
      </c>
      <c r="E67" s="94">
        <v>72000000</v>
      </c>
      <c r="F67" s="158">
        <f>10472696.39+930325</f>
        <v>11403021.390000001</v>
      </c>
      <c r="G67" s="159">
        <v>1800000</v>
      </c>
      <c r="H67" s="173">
        <f>8672696.39+930325</f>
        <v>9603021.3900000006</v>
      </c>
      <c r="I67" s="92">
        <f>10+1</f>
        <v>11</v>
      </c>
    </row>
    <row r="68" spans="1:9" x14ac:dyDescent="0.25">
      <c r="C68" s="49"/>
      <c r="D68" s="37" t="s">
        <v>1176</v>
      </c>
      <c r="E68" s="94">
        <v>1312000</v>
      </c>
      <c r="F68" s="158">
        <f>71540+17885</f>
        <v>89425</v>
      </c>
      <c r="G68" s="159">
        <v>0</v>
      </c>
      <c r="H68" s="158">
        <f>71540+17885</f>
        <v>89425</v>
      </c>
      <c r="I68" s="92">
        <f>4+1</f>
        <v>5</v>
      </c>
    </row>
    <row r="69" spans="1:9" ht="15" customHeight="1" x14ac:dyDescent="0.25">
      <c r="C69" s="48">
        <v>28</v>
      </c>
      <c r="D69" s="38" t="s">
        <v>849</v>
      </c>
      <c r="E69" s="94">
        <v>25000000</v>
      </c>
      <c r="F69" s="158">
        <f>3437500+312500</f>
        <v>3750000</v>
      </c>
      <c r="G69" s="159">
        <v>0</v>
      </c>
      <c r="H69" s="158">
        <f>3437500+312500</f>
        <v>3750000</v>
      </c>
      <c r="I69" s="92">
        <f>11+1</f>
        <v>12</v>
      </c>
    </row>
    <row r="70" spans="1:9" ht="15" customHeight="1" x14ac:dyDescent="0.25">
      <c r="C70" s="48">
        <v>15</v>
      </c>
      <c r="D70" s="38" t="s">
        <v>1031</v>
      </c>
      <c r="E70" s="94">
        <v>17280000</v>
      </c>
      <c r="F70" s="158">
        <f>1883520+235440</f>
        <v>2118960</v>
      </c>
      <c r="G70" s="159">
        <v>0</v>
      </c>
      <c r="H70" s="158">
        <f>1883520+235440</f>
        <v>2118960</v>
      </c>
      <c r="I70" s="92">
        <f>8+1</f>
        <v>9</v>
      </c>
    </row>
    <row r="71" spans="1:9" ht="15" customHeight="1" x14ac:dyDescent="0.25">
      <c r="C71" s="48"/>
      <c r="D71" s="38" t="s">
        <v>850</v>
      </c>
      <c r="E71" s="94">
        <v>3370000</v>
      </c>
      <c r="F71" s="158">
        <f>459275+45927.5</f>
        <v>505202.5</v>
      </c>
      <c r="G71" s="159">
        <v>0</v>
      </c>
      <c r="H71" s="158">
        <f>459275+45927.5</f>
        <v>505202.5</v>
      </c>
      <c r="I71" s="92">
        <f>10+1</f>
        <v>11</v>
      </c>
    </row>
    <row r="72" spans="1:9" ht="15" customHeight="1" x14ac:dyDescent="0.25">
      <c r="C72" s="48"/>
      <c r="D72" s="38" t="s">
        <v>934</v>
      </c>
      <c r="E72" s="94">
        <v>2060000</v>
      </c>
      <c r="F72" s="158">
        <f>252607.5+28067.5</f>
        <v>280675</v>
      </c>
      <c r="G72" s="159">
        <v>0</v>
      </c>
      <c r="H72" s="158">
        <f>252607.5+28067.5</f>
        <v>280675</v>
      </c>
      <c r="I72" s="92">
        <f>9+1</f>
        <v>10</v>
      </c>
    </row>
    <row r="73" spans="1:9" x14ac:dyDescent="0.25">
      <c r="A73" s="282"/>
      <c r="C73" s="49" t="s">
        <v>1293</v>
      </c>
      <c r="D73" s="37" t="s">
        <v>1294</v>
      </c>
      <c r="E73" s="94">
        <v>71526000</v>
      </c>
      <c r="F73" s="158">
        <f>9078132.5+1119005</f>
        <v>10197137.5</v>
      </c>
      <c r="G73" s="159">
        <v>2923605</v>
      </c>
      <c r="H73" s="173">
        <f>6154527.5+1119005</f>
        <v>7273532.5</v>
      </c>
      <c r="I73" s="92">
        <f>6+1</f>
        <v>7</v>
      </c>
    </row>
    <row r="74" spans="1:9" ht="15" customHeight="1" x14ac:dyDescent="0.25">
      <c r="C74" s="48">
        <v>15</v>
      </c>
      <c r="D74" s="38" t="s">
        <v>1127</v>
      </c>
      <c r="E74" s="94">
        <v>10000000</v>
      </c>
      <c r="F74" s="158">
        <f>817500+136250</f>
        <v>953750</v>
      </c>
      <c r="G74" s="221">
        <v>0</v>
      </c>
      <c r="H74" s="158">
        <f>817500+136250</f>
        <v>953750</v>
      </c>
      <c r="I74" s="92">
        <f>6+1</f>
        <v>7</v>
      </c>
    </row>
    <row r="75" spans="1:9" s="95" customFormat="1" ht="15" customHeight="1" x14ac:dyDescent="0.25">
      <c r="A75" s="65"/>
      <c r="C75" s="48"/>
      <c r="D75" s="38" t="s">
        <v>851</v>
      </c>
      <c r="E75" s="94">
        <v>6785000</v>
      </c>
      <c r="F75" s="158">
        <f>932937.5+84812.5</f>
        <v>1017750</v>
      </c>
      <c r="G75" s="159">
        <v>0</v>
      </c>
      <c r="H75" s="158">
        <f>932937.5+84812.5</f>
        <v>1017750</v>
      </c>
      <c r="I75" s="92">
        <f>11+1</f>
        <v>12</v>
      </c>
    </row>
    <row r="76" spans="1:9" ht="15" customHeight="1" x14ac:dyDescent="0.25">
      <c r="C76" s="48">
        <v>15</v>
      </c>
      <c r="D76" s="224" t="s">
        <v>1079</v>
      </c>
      <c r="E76" s="93">
        <v>24664000</v>
      </c>
      <c r="F76" s="158">
        <f>2352297.5+336042.5</f>
        <v>2688340</v>
      </c>
      <c r="G76" s="159">
        <v>0</v>
      </c>
      <c r="H76" s="158">
        <f>2352297.5+336042.5</f>
        <v>2688340</v>
      </c>
      <c r="I76" s="92">
        <f>7+1</f>
        <v>8</v>
      </c>
    </row>
    <row r="77" spans="1:9" ht="15" customHeight="1" x14ac:dyDescent="0.25">
      <c r="C77" s="48">
        <v>15</v>
      </c>
      <c r="D77" s="224" t="s">
        <v>1151</v>
      </c>
      <c r="E77" s="93">
        <v>10000000</v>
      </c>
      <c r="F77" s="158">
        <f>681250+136250</f>
        <v>817500</v>
      </c>
      <c r="G77" s="159">
        <v>0</v>
      </c>
      <c r="H77" s="158">
        <f>681250+136250</f>
        <v>817500</v>
      </c>
      <c r="I77" s="92">
        <f>5+1</f>
        <v>6</v>
      </c>
    </row>
    <row r="78" spans="1:9" ht="15" customHeight="1" x14ac:dyDescent="0.25">
      <c r="C78" s="48" t="s">
        <v>1391</v>
      </c>
      <c r="D78" s="38" t="s">
        <v>852</v>
      </c>
      <c r="E78" s="94">
        <v>17211000</v>
      </c>
      <c r="F78" s="158">
        <f>2581650+215137.5</f>
        <v>2796787.5</v>
      </c>
      <c r="G78" s="159">
        <v>0</v>
      </c>
      <c r="H78" s="158">
        <f>2581650+215137.5</f>
        <v>2796787.5</v>
      </c>
      <c r="I78" s="92">
        <f>12+1</f>
        <v>13</v>
      </c>
    </row>
    <row r="79" spans="1:9" ht="15" customHeight="1" x14ac:dyDescent="0.25">
      <c r="C79" s="48">
        <v>15</v>
      </c>
      <c r="D79" s="38" t="s">
        <v>853</v>
      </c>
      <c r="E79" s="94">
        <v>10500000</v>
      </c>
      <c r="F79" s="158">
        <f>1430625+143062.5</f>
        <v>1573687.5</v>
      </c>
      <c r="G79" s="159">
        <v>0</v>
      </c>
      <c r="H79" s="158">
        <f>1430625+143062.5</f>
        <v>1573687.5</v>
      </c>
      <c r="I79" s="92">
        <f>10+1</f>
        <v>11</v>
      </c>
    </row>
    <row r="80" spans="1:9" ht="15" customHeight="1" x14ac:dyDescent="0.25">
      <c r="C80" s="48">
        <v>15</v>
      </c>
      <c r="D80" s="38" t="s">
        <v>1032</v>
      </c>
      <c r="E80" s="94">
        <v>73000000</v>
      </c>
      <c r="F80" s="158">
        <f>7300000+912500</f>
        <v>8212500</v>
      </c>
      <c r="G80" s="159">
        <v>0</v>
      </c>
      <c r="H80" s="158">
        <f>7300000+912500</f>
        <v>8212500</v>
      </c>
      <c r="I80" s="92">
        <f>8+1</f>
        <v>9</v>
      </c>
    </row>
    <row r="81" spans="1:9" ht="15" customHeight="1" x14ac:dyDescent="0.25">
      <c r="C81" s="48">
        <v>37</v>
      </c>
      <c r="D81" s="38" t="s">
        <v>854</v>
      </c>
      <c r="E81" s="94">
        <v>2816000</v>
      </c>
      <c r="F81" s="158">
        <f>460470+38372.5</f>
        <v>498842.5</v>
      </c>
      <c r="G81" s="159">
        <v>0</v>
      </c>
      <c r="H81" s="158">
        <f>460470+38372.5</f>
        <v>498842.5</v>
      </c>
      <c r="I81" s="92">
        <f>12+1</f>
        <v>13</v>
      </c>
    </row>
    <row r="82" spans="1:9" ht="15" customHeight="1" x14ac:dyDescent="0.25">
      <c r="C82" s="48"/>
      <c r="D82" s="38" t="s">
        <v>855</v>
      </c>
      <c r="E82" s="94">
        <v>16200000</v>
      </c>
      <c r="F82" s="158">
        <f>2869425+220725</f>
        <v>3090150</v>
      </c>
      <c r="G82" s="159">
        <v>0</v>
      </c>
      <c r="H82" s="158">
        <f>2869425+220725</f>
        <v>3090150</v>
      </c>
      <c r="I82" s="92">
        <f>13+1</f>
        <v>14</v>
      </c>
    </row>
    <row r="83" spans="1:9" ht="15" customHeight="1" x14ac:dyDescent="0.25">
      <c r="A83" s="282"/>
      <c r="C83" s="48">
        <v>37</v>
      </c>
      <c r="D83" s="38" t="s">
        <v>856</v>
      </c>
      <c r="E83" s="94">
        <v>6500000</v>
      </c>
      <c r="F83" s="158">
        <f>731250+81250</f>
        <v>812500</v>
      </c>
      <c r="G83" s="159">
        <v>0</v>
      </c>
      <c r="H83" s="158">
        <f>731250+81250</f>
        <v>812500</v>
      </c>
      <c r="I83" s="92">
        <f>9+1</f>
        <v>10</v>
      </c>
    </row>
    <row r="84" spans="1:9" ht="15" customHeight="1" x14ac:dyDescent="0.25">
      <c r="C84" s="48"/>
      <c r="D84" s="38" t="s">
        <v>857</v>
      </c>
      <c r="E84" s="94">
        <v>6000000</v>
      </c>
      <c r="F84" s="158">
        <f>817500+81750</f>
        <v>899250</v>
      </c>
      <c r="G84" s="159">
        <v>0</v>
      </c>
      <c r="H84" s="158">
        <f>817500+81750</f>
        <v>899250</v>
      </c>
      <c r="I84" s="92">
        <f>10+1</f>
        <v>11</v>
      </c>
    </row>
    <row r="85" spans="1:9" ht="15" customHeight="1" x14ac:dyDescent="0.25">
      <c r="C85" s="48"/>
      <c r="D85" s="38" t="s">
        <v>858</v>
      </c>
      <c r="E85" s="94">
        <v>3727000</v>
      </c>
      <c r="F85" s="158">
        <f>609270+50772.5</f>
        <v>660042.5</v>
      </c>
      <c r="G85" s="159">
        <v>0</v>
      </c>
      <c r="H85" s="158">
        <f>609270+50772.5</f>
        <v>660042.5</v>
      </c>
      <c r="I85" s="92">
        <f>12+1</f>
        <v>13</v>
      </c>
    </row>
    <row r="86" spans="1:9" ht="15" customHeight="1" x14ac:dyDescent="0.25">
      <c r="C86" s="48">
        <v>15</v>
      </c>
      <c r="D86" s="38" t="s">
        <v>1081</v>
      </c>
      <c r="E86" s="94">
        <v>26038000</v>
      </c>
      <c r="F86" s="158">
        <f>2483390+354770</f>
        <v>2838160</v>
      </c>
      <c r="G86" s="159">
        <v>0</v>
      </c>
      <c r="H86" s="158">
        <f>2483390+354770</f>
        <v>2838160</v>
      </c>
      <c r="I86" s="92">
        <f>7+1</f>
        <v>8</v>
      </c>
    </row>
    <row r="87" spans="1:9" ht="15" customHeight="1" x14ac:dyDescent="0.25">
      <c r="A87" s="282"/>
      <c r="C87" s="48"/>
      <c r="D87" s="38" t="s">
        <v>935</v>
      </c>
      <c r="E87" s="94">
        <v>4389000</v>
      </c>
      <c r="F87" s="158">
        <f>538110+59790</f>
        <v>597900</v>
      </c>
      <c r="G87" s="159">
        <v>0</v>
      </c>
      <c r="H87" s="158">
        <f>538110+59790</f>
        <v>597900</v>
      </c>
      <c r="I87" s="92">
        <f>9+1</f>
        <v>10</v>
      </c>
    </row>
    <row r="88" spans="1:9" ht="15" customHeight="1" x14ac:dyDescent="0.25">
      <c r="C88" s="48">
        <v>15</v>
      </c>
      <c r="D88" s="38" t="s">
        <v>861</v>
      </c>
      <c r="E88" s="94">
        <v>11949000</v>
      </c>
      <c r="F88" s="158">
        <f>1493625+149362.5</f>
        <v>1642987.5</v>
      </c>
      <c r="G88" s="159">
        <v>0</v>
      </c>
      <c r="H88" s="158">
        <f>1493625+149362.5</f>
        <v>1642987.5</v>
      </c>
      <c r="I88" s="92">
        <f>10+1</f>
        <v>11</v>
      </c>
    </row>
    <row r="89" spans="1:9" ht="15" customHeight="1" x14ac:dyDescent="0.25">
      <c r="C89" s="48"/>
      <c r="D89" s="37" t="s">
        <v>1174</v>
      </c>
      <c r="E89" s="94">
        <v>35000000</v>
      </c>
      <c r="F89" s="158">
        <f>1750000+437500</f>
        <v>2187500</v>
      </c>
      <c r="G89" s="159">
        <v>0</v>
      </c>
      <c r="H89" s="158">
        <f>1750000+437500</f>
        <v>2187500</v>
      </c>
      <c r="I89" s="92">
        <f>4+1</f>
        <v>5</v>
      </c>
    </row>
    <row r="90" spans="1:9" ht="15" customHeight="1" x14ac:dyDescent="0.25">
      <c r="C90" s="48"/>
      <c r="D90" s="38" t="s">
        <v>862</v>
      </c>
      <c r="E90" s="94">
        <v>2800000</v>
      </c>
      <c r="F90" s="158">
        <f>381500+38150</f>
        <v>419650</v>
      </c>
      <c r="G90" s="159">
        <v>0</v>
      </c>
      <c r="H90" s="158">
        <f>381500+38150</f>
        <v>419650</v>
      </c>
      <c r="I90" s="92">
        <f>10+1</f>
        <v>11</v>
      </c>
    </row>
    <row r="91" spans="1:9" ht="15" customHeight="1" x14ac:dyDescent="0.25">
      <c r="C91" s="48"/>
      <c r="D91" s="38" t="s">
        <v>863</v>
      </c>
      <c r="E91" s="94">
        <v>9500000</v>
      </c>
      <c r="F91" s="158">
        <f>1294375+129437.5</f>
        <v>1423812.5</v>
      </c>
      <c r="G91" s="159">
        <v>0</v>
      </c>
      <c r="H91" s="158">
        <f>1294375+129437.5</f>
        <v>1423812.5</v>
      </c>
      <c r="I91" s="92">
        <f>10+1</f>
        <v>11</v>
      </c>
    </row>
    <row r="92" spans="1:9" ht="15" customHeight="1" x14ac:dyDescent="0.25">
      <c r="C92" s="48">
        <v>28</v>
      </c>
      <c r="D92" s="38" t="s">
        <v>864</v>
      </c>
      <c r="E92" s="94">
        <v>41400000</v>
      </c>
      <c r="F92" s="158">
        <f>6210000+517500</f>
        <v>6727500</v>
      </c>
      <c r="G92" s="159">
        <v>0</v>
      </c>
      <c r="H92" s="158">
        <f>6210000+517500</f>
        <v>6727500</v>
      </c>
      <c r="I92" s="92">
        <f>12+1</f>
        <v>13</v>
      </c>
    </row>
    <row r="93" spans="1:9" ht="15" customHeight="1" x14ac:dyDescent="0.25">
      <c r="C93" s="48"/>
      <c r="D93" s="38" t="s">
        <v>1082</v>
      </c>
      <c r="E93" s="94">
        <v>8222000</v>
      </c>
      <c r="F93" s="158">
        <f>866840+108355</f>
        <v>975195</v>
      </c>
      <c r="G93" s="159">
        <v>0</v>
      </c>
      <c r="H93" s="158">
        <f>866840+108355</f>
        <v>975195</v>
      </c>
      <c r="I93" s="92">
        <f>8+1</f>
        <v>9</v>
      </c>
    </row>
    <row r="94" spans="1:9" s="95" customFormat="1" ht="15" customHeight="1" x14ac:dyDescent="0.25">
      <c r="A94" s="65"/>
      <c r="C94" s="48"/>
      <c r="D94" s="38" t="s">
        <v>936</v>
      </c>
      <c r="E94" s="94">
        <v>9266000</v>
      </c>
      <c r="F94" s="158">
        <f>1042425+115825</f>
        <v>1158250</v>
      </c>
      <c r="G94" s="159">
        <v>0</v>
      </c>
      <c r="H94" s="158">
        <f>1042425+115825</f>
        <v>1158250</v>
      </c>
      <c r="I94" s="92">
        <f>9+1</f>
        <v>10</v>
      </c>
    </row>
    <row r="95" spans="1:9" ht="15" customHeight="1" x14ac:dyDescent="0.25">
      <c r="C95" s="48"/>
      <c r="D95" s="38" t="s">
        <v>1152</v>
      </c>
      <c r="E95" s="94">
        <v>8900000</v>
      </c>
      <c r="F95" s="158">
        <f>586400+117280</f>
        <v>703680</v>
      </c>
      <c r="G95" s="159">
        <v>0</v>
      </c>
      <c r="H95" s="158">
        <f>586400+117280</f>
        <v>703680</v>
      </c>
      <c r="I95" s="92">
        <f>5+1</f>
        <v>6</v>
      </c>
    </row>
    <row r="96" spans="1:9" x14ac:dyDescent="0.25">
      <c r="A96" s="282"/>
      <c r="C96" s="48">
        <v>4</v>
      </c>
      <c r="D96" s="38" t="s">
        <v>865</v>
      </c>
      <c r="E96" s="94">
        <v>9982000</v>
      </c>
      <c r="F96" s="158">
        <f>1224022.5+136002.5</f>
        <v>1360025</v>
      </c>
      <c r="G96" s="159">
        <v>136002.5</v>
      </c>
      <c r="H96" s="173">
        <f>1088020+136002.5</f>
        <v>1224022.5</v>
      </c>
      <c r="I96" s="92">
        <f>8+1</f>
        <v>9</v>
      </c>
    </row>
    <row r="97" spans="1:9" ht="15" customHeight="1" x14ac:dyDescent="0.25">
      <c r="C97" s="48">
        <v>15</v>
      </c>
      <c r="D97" s="225" t="s">
        <v>1083</v>
      </c>
      <c r="E97" s="94">
        <v>40000000</v>
      </c>
      <c r="F97" s="158">
        <f>3815000+545000</f>
        <v>4360000</v>
      </c>
      <c r="G97" s="159">
        <v>0</v>
      </c>
      <c r="H97" s="158">
        <f>3815000+545000</f>
        <v>4360000</v>
      </c>
      <c r="I97" s="92">
        <f>7+1</f>
        <v>8</v>
      </c>
    </row>
    <row r="98" spans="1:9" ht="15" customHeight="1" x14ac:dyDescent="0.25">
      <c r="C98" s="48">
        <v>15</v>
      </c>
      <c r="D98" s="38" t="s">
        <v>938</v>
      </c>
      <c r="E98" s="94">
        <v>10900000</v>
      </c>
      <c r="F98" s="158">
        <f>1782150+148512.5</f>
        <v>1930662.5</v>
      </c>
      <c r="G98" s="159">
        <v>0</v>
      </c>
      <c r="H98" s="158">
        <f>1782150+148512.5</f>
        <v>1930662.5</v>
      </c>
      <c r="I98" s="92">
        <f>12+1</f>
        <v>13</v>
      </c>
    </row>
    <row r="99" spans="1:9" ht="15" customHeight="1" x14ac:dyDescent="0.25">
      <c r="C99" s="48">
        <v>37</v>
      </c>
      <c r="D99" s="38" t="s">
        <v>866</v>
      </c>
      <c r="E99" s="94">
        <v>5983000</v>
      </c>
      <c r="F99" s="158">
        <f>978180+81515</f>
        <v>1059695</v>
      </c>
      <c r="G99" s="159">
        <v>0</v>
      </c>
      <c r="H99" s="158">
        <f>978180+81515</f>
        <v>1059695</v>
      </c>
      <c r="I99" s="92">
        <f>12+1</f>
        <v>13</v>
      </c>
    </row>
    <row r="100" spans="1:9" ht="15" customHeight="1" x14ac:dyDescent="0.25">
      <c r="C100" s="48">
        <v>28</v>
      </c>
      <c r="D100" s="38" t="s">
        <v>867</v>
      </c>
      <c r="E100" s="94">
        <v>25000000</v>
      </c>
      <c r="F100" s="158">
        <f>4087500+340625</f>
        <v>4428125</v>
      </c>
      <c r="G100" s="159">
        <v>0</v>
      </c>
      <c r="H100" s="158">
        <f>4087500+340625</f>
        <v>4428125</v>
      </c>
      <c r="I100" s="92">
        <f>12+1</f>
        <v>13</v>
      </c>
    </row>
    <row r="101" spans="1:9" ht="15" customHeight="1" x14ac:dyDescent="0.25">
      <c r="A101" s="282"/>
      <c r="C101" s="48">
        <v>28</v>
      </c>
      <c r="D101" s="37" t="s">
        <v>868</v>
      </c>
      <c r="E101" s="94">
        <v>30407000</v>
      </c>
      <c r="F101" s="158">
        <f>4941137.5+380087.5</f>
        <v>5321225</v>
      </c>
      <c r="G101" s="159">
        <v>0</v>
      </c>
      <c r="H101" s="158">
        <f>4941137.5+380087.5</f>
        <v>5321225</v>
      </c>
      <c r="I101" s="92">
        <f>13+1</f>
        <v>14</v>
      </c>
    </row>
    <row r="102" spans="1:9" x14ac:dyDescent="0.25">
      <c r="C102" s="48"/>
      <c r="D102" s="37" t="s">
        <v>1274</v>
      </c>
      <c r="E102" s="94">
        <v>23393000</v>
      </c>
      <c r="F102" s="261">
        <f>584825+292412.5</f>
        <v>877237.5</v>
      </c>
      <c r="G102" s="221">
        <v>0</v>
      </c>
      <c r="H102" s="261">
        <f>584825+292412.5</f>
        <v>877237.5</v>
      </c>
      <c r="I102" s="92">
        <f>2+1</f>
        <v>3</v>
      </c>
    </row>
    <row r="103" spans="1:9" ht="15" customHeight="1" x14ac:dyDescent="0.25">
      <c r="C103" s="48">
        <v>15</v>
      </c>
      <c r="D103" s="38" t="s">
        <v>1084</v>
      </c>
      <c r="E103" s="93">
        <v>12900000</v>
      </c>
      <c r="F103" s="158">
        <f>1230337.5+175762.5</f>
        <v>1406100</v>
      </c>
      <c r="G103" s="159">
        <v>0</v>
      </c>
      <c r="H103" s="158">
        <f>1230337.5+175762.5</f>
        <v>1406100</v>
      </c>
      <c r="I103" s="92">
        <f>7+1</f>
        <v>8</v>
      </c>
    </row>
    <row r="104" spans="1:9" ht="15" customHeight="1" x14ac:dyDescent="0.25">
      <c r="C104" s="96"/>
      <c r="D104" s="37" t="s">
        <v>1239</v>
      </c>
      <c r="E104" s="99">
        <v>2760000</v>
      </c>
      <c r="F104" s="158">
        <f>112815+37605</f>
        <v>150420</v>
      </c>
      <c r="G104" s="159">
        <v>0</v>
      </c>
      <c r="H104" s="158">
        <f>112815+37605</f>
        <v>150420</v>
      </c>
      <c r="I104" s="92">
        <f>3+1</f>
        <v>4</v>
      </c>
    </row>
    <row r="105" spans="1:9" ht="15" customHeight="1" x14ac:dyDescent="0.25">
      <c r="C105" s="48">
        <v>15</v>
      </c>
      <c r="D105" s="38" t="s">
        <v>1033</v>
      </c>
      <c r="E105" s="94">
        <v>30000000</v>
      </c>
      <c r="F105" s="158">
        <f>3270000+408750</f>
        <v>3678750</v>
      </c>
      <c r="G105" s="159">
        <v>0</v>
      </c>
      <c r="H105" s="158">
        <f>3270000+408750</f>
        <v>3678750</v>
      </c>
      <c r="I105" s="92">
        <f>8+1</f>
        <v>9</v>
      </c>
    </row>
    <row r="106" spans="1:9" ht="15" customHeight="1" x14ac:dyDescent="0.25">
      <c r="C106" s="48">
        <v>15</v>
      </c>
      <c r="D106" s="38" t="s">
        <v>1153</v>
      </c>
      <c r="E106" s="94">
        <v>60000000</v>
      </c>
      <c r="F106" s="158">
        <f>4087500+817500</f>
        <v>4905000</v>
      </c>
      <c r="G106" s="159">
        <v>0</v>
      </c>
      <c r="H106" s="158">
        <f>4087500+817500</f>
        <v>4905000</v>
      </c>
      <c r="I106" s="92">
        <f>5+1</f>
        <v>6</v>
      </c>
    </row>
    <row r="107" spans="1:9" ht="15" customHeight="1" x14ac:dyDescent="0.25">
      <c r="C107" s="48">
        <v>15</v>
      </c>
      <c r="D107" s="38" t="s">
        <v>869</v>
      </c>
      <c r="E107" s="94">
        <v>10973000</v>
      </c>
      <c r="F107" s="158">
        <f>1495150+149515</f>
        <v>1644665</v>
      </c>
      <c r="G107" s="159">
        <v>0</v>
      </c>
      <c r="H107" s="158">
        <f>1495150+149515</f>
        <v>1644665</v>
      </c>
      <c r="I107" s="92">
        <f>10+1</f>
        <v>11</v>
      </c>
    </row>
    <row r="108" spans="1:9" ht="15" customHeight="1" x14ac:dyDescent="0.25">
      <c r="C108" s="48">
        <v>15</v>
      </c>
      <c r="D108" s="38" t="s">
        <v>870</v>
      </c>
      <c r="E108" s="94">
        <v>8000000</v>
      </c>
      <c r="F108" s="158">
        <f>1308000+109000</f>
        <v>1417000</v>
      </c>
      <c r="G108" s="159">
        <v>0</v>
      </c>
      <c r="H108" s="158">
        <f>1308000+109000</f>
        <v>1417000</v>
      </c>
      <c r="I108" s="92">
        <f>12+1</f>
        <v>13</v>
      </c>
    </row>
    <row r="109" spans="1:9" s="95" customFormat="1" ht="15" customHeight="1" x14ac:dyDescent="0.25">
      <c r="A109" s="65"/>
      <c r="C109" s="48">
        <v>15</v>
      </c>
      <c r="D109" s="38" t="s">
        <v>871</v>
      </c>
      <c r="E109" s="94">
        <v>11730000</v>
      </c>
      <c r="F109" s="158">
        <f>1598325+159832.5</f>
        <v>1758157.5</v>
      </c>
      <c r="G109" s="159">
        <v>0</v>
      </c>
      <c r="H109" s="158">
        <f>1598325+159832.5</f>
        <v>1758157.5</v>
      </c>
      <c r="I109" s="92">
        <f>10+1</f>
        <v>11</v>
      </c>
    </row>
    <row r="110" spans="1:9" ht="15" customHeight="1" x14ac:dyDescent="0.25">
      <c r="C110" s="48"/>
      <c r="D110" s="38" t="s">
        <v>872</v>
      </c>
      <c r="E110" s="94">
        <v>3000000</v>
      </c>
      <c r="F110" s="158">
        <f>449625+40875</f>
        <v>490500</v>
      </c>
      <c r="G110" s="159">
        <v>0</v>
      </c>
      <c r="H110" s="158">
        <f>449625+40875</f>
        <v>490500</v>
      </c>
      <c r="I110" s="92">
        <f>11+1</f>
        <v>12</v>
      </c>
    </row>
    <row r="111" spans="1:9" ht="15" customHeight="1" x14ac:dyDescent="0.25">
      <c r="C111" s="48">
        <v>15</v>
      </c>
      <c r="D111" s="38" t="s">
        <v>937</v>
      </c>
      <c r="E111" s="94">
        <v>12000000</v>
      </c>
      <c r="F111" s="158">
        <f>1471500+163500</f>
        <v>1635000</v>
      </c>
      <c r="G111" s="159">
        <v>0</v>
      </c>
      <c r="H111" s="158">
        <f>1471500+163500</f>
        <v>1635000</v>
      </c>
      <c r="I111" s="92">
        <f>9+1</f>
        <v>10</v>
      </c>
    </row>
    <row r="112" spans="1:9" ht="15" customHeight="1" x14ac:dyDescent="0.25">
      <c r="A112" s="282"/>
      <c r="C112" s="48">
        <v>15</v>
      </c>
      <c r="D112" s="38" t="s">
        <v>1034</v>
      </c>
      <c r="E112" s="94">
        <v>14448000</v>
      </c>
      <c r="F112" s="158">
        <f>1444800+180600</f>
        <v>1625400</v>
      </c>
      <c r="G112" s="159">
        <v>0</v>
      </c>
      <c r="H112" s="158">
        <f>1444800+180600</f>
        <v>1625400</v>
      </c>
      <c r="I112" s="92">
        <f>8+1</f>
        <v>9</v>
      </c>
    </row>
    <row r="113" spans="1:9" ht="15" customHeight="1" x14ac:dyDescent="0.25">
      <c r="C113" s="227">
        <v>15</v>
      </c>
      <c r="D113" s="149" t="s">
        <v>1130</v>
      </c>
      <c r="E113" s="228">
        <v>14738000</v>
      </c>
      <c r="F113" s="158">
        <f>1105350+184225</f>
        <v>1289575</v>
      </c>
      <c r="G113" s="167">
        <v>0</v>
      </c>
      <c r="H113" s="158">
        <f>1105350+184225</f>
        <v>1289575</v>
      </c>
      <c r="I113" s="92">
        <f>6+1</f>
        <v>7</v>
      </c>
    </row>
    <row r="114" spans="1:9" ht="15" customHeight="1" x14ac:dyDescent="0.25">
      <c r="C114" s="227"/>
      <c r="D114" s="229" t="s">
        <v>939</v>
      </c>
      <c r="E114" s="228">
        <v>7290000</v>
      </c>
      <c r="F114" s="158">
        <f>894037.5+99337.5</f>
        <v>993375</v>
      </c>
      <c r="G114" s="230">
        <v>0</v>
      </c>
      <c r="H114" s="158">
        <f>894037.5+99337.5</f>
        <v>993375</v>
      </c>
      <c r="I114" s="92">
        <f>9+1</f>
        <v>10</v>
      </c>
    </row>
    <row r="115" spans="1:9" ht="15" customHeight="1" x14ac:dyDescent="0.25">
      <c r="A115" s="282"/>
      <c r="C115" s="48">
        <v>37</v>
      </c>
      <c r="D115" s="38" t="s">
        <v>1086</v>
      </c>
      <c r="E115" s="93">
        <v>16800000</v>
      </c>
      <c r="F115" s="158">
        <f>1602300+228900</f>
        <v>1831200</v>
      </c>
      <c r="G115" s="158">
        <v>0</v>
      </c>
      <c r="H115" s="158">
        <f>1602300+228900</f>
        <v>1831200</v>
      </c>
      <c r="I115" s="92">
        <f>7+1</f>
        <v>8</v>
      </c>
    </row>
    <row r="116" spans="1:9" ht="15" customHeight="1" x14ac:dyDescent="0.25">
      <c r="A116" s="282"/>
      <c r="C116" s="48"/>
      <c r="D116" s="37" t="s">
        <v>1238</v>
      </c>
      <c r="E116" s="93">
        <v>2720000</v>
      </c>
      <c r="F116" s="158">
        <f>111180+37060</f>
        <v>148240</v>
      </c>
      <c r="G116" s="158">
        <v>0</v>
      </c>
      <c r="H116" s="158">
        <f>111180+37060</f>
        <v>148240</v>
      </c>
      <c r="I116" s="92">
        <f>3+1</f>
        <v>4</v>
      </c>
    </row>
    <row r="117" spans="1:9" ht="15" customHeight="1" x14ac:dyDescent="0.25">
      <c r="C117" s="92"/>
      <c r="D117" s="100" t="s">
        <v>874</v>
      </c>
      <c r="E117" s="101"/>
      <c r="F117" s="159"/>
      <c r="G117" s="159"/>
      <c r="H117" s="174"/>
      <c r="I117" s="92"/>
    </row>
    <row r="118" spans="1:9" ht="15" customHeight="1" x14ac:dyDescent="0.25">
      <c r="C118" s="48"/>
      <c r="D118" s="37" t="s">
        <v>1119</v>
      </c>
      <c r="E118" s="94">
        <v>2672000</v>
      </c>
      <c r="F118" s="158">
        <f>218490+36415</f>
        <v>254905</v>
      </c>
      <c r="G118" s="159">
        <v>0</v>
      </c>
      <c r="H118" s="158">
        <f>218490+36415</f>
        <v>254905</v>
      </c>
      <c r="I118" s="92">
        <f>6+1</f>
        <v>7</v>
      </c>
    </row>
    <row r="119" spans="1:9" ht="15" customHeight="1" x14ac:dyDescent="0.25">
      <c r="C119" s="48">
        <v>37</v>
      </c>
      <c r="D119" s="38" t="s">
        <v>875</v>
      </c>
      <c r="E119" s="94">
        <v>2400000</v>
      </c>
      <c r="F119" s="158">
        <v>163500</v>
      </c>
      <c r="G119" s="159">
        <v>0</v>
      </c>
      <c r="H119" s="173">
        <v>163500</v>
      </c>
      <c r="I119" s="92">
        <v>5</v>
      </c>
    </row>
    <row r="120" spans="1:9" ht="15" customHeight="1" x14ac:dyDescent="0.25">
      <c r="C120" s="48">
        <v>37</v>
      </c>
      <c r="D120" s="38" t="s">
        <v>876</v>
      </c>
      <c r="E120" s="94">
        <v>7701000</v>
      </c>
      <c r="F120" s="158">
        <v>1049250</v>
      </c>
      <c r="G120" s="159">
        <v>0</v>
      </c>
      <c r="H120" s="173">
        <v>1049250</v>
      </c>
      <c r="I120" s="92">
        <v>10</v>
      </c>
    </row>
    <row r="121" spans="1:9" ht="15" customHeight="1" x14ac:dyDescent="0.25">
      <c r="C121" s="48"/>
      <c r="D121" s="38" t="s">
        <v>1154</v>
      </c>
      <c r="E121" s="94">
        <v>6398000</v>
      </c>
      <c r="F121" s="158">
        <f>435875+87175</f>
        <v>523050</v>
      </c>
      <c r="G121" s="159">
        <v>0</v>
      </c>
      <c r="H121" s="158">
        <f>435875+87175</f>
        <v>523050</v>
      </c>
      <c r="I121" s="92">
        <f>5+1</f>
        <v>6</v>
      </c>
    </row>
    <row r="122" spans="1:9" ht="15" customHeight="1" x14ac:dyDescent="0.25">
      <c r="C122" s="48"/>
      <c r="D122" s="38" t="s">
        <v>878</v>
      </c>
      <c r="E122" s="94">
        <v>7400000</v>
      </c>
      <c r="F122" s="158">
        <f>1017500+92500</f>
        <v>1110000</v>
      </c>
      <c r="G122" s="159">
        <v>0</v>
      </c>
      <c r="H122" s="158">
        <f>1017500+92500</f>
        <v>1110000</v>
      </c>
      <c r="I122" s="92">
        <f>11+1</f>
        <v>12</v>
      </c>
    </row>
    <row r="123" spans="1:9" ht="15" customHeight="1" x14ac:dyDescent="0.25">
      <c r="C123" s="48">
        <v>15</v>
      </c>
      <c r="D123" s="38" t="s">
        <v>879</v>
      </c>
      <c r="E123" s="94">
        <v>4500000</v>
      </c>
      <c r="F123" s="158">
        <f>806600+61312.5</f>
        <v>867912.5</v>
      </c>
      <c r="G123" s="159">
        <v>0</v>
      </c>
      <c r="H123" s="158">
        <f>806600+61312.5</f>
        <v>867912.5</v>
      </c>
      <c r="I123" s="92">
        <f>13+1</f>
        <v>14</v>
      </c>
    </row>
    <row r="124" spans="1:9" ht="15" customHeight="1" x14ac:dyDescent="0.25">
      <c r="C124" s="48"/>
      <c r="D124" s="38" t="s">
        <v>880</v>
      </c>
      <c r="E124" s="94">
        <v>1607000</v>
      </c>
      <c r="F124" s="158">
        <f>211675+21167.5</f>
        <v>232842.5</v>
      </c>
      <c r="G124" s="159">
        <v>0</v>
      </c>
      <c r="H124" s="158">
        <f>211675+21167.5</f>
        <v>232842.5</v>
      </c>
      <c r="I124" s="92">
        <f>10+1</f>
        <v>11</v>
      </c>
    </row>
    <row r="125" spans="1:9" x14ac:dyDescent="0.25">
      <c r="C125" s="48">
        <v>4</v>
      </c>
      <c r="D125" s="38" t="s">
        <v>881</v>
      </c>
      <c r="E125" s="94">
        <v>2568000</v>
      </c>
      <c r="F125" s="158">
        <f>419760+34980</f>
        <v>454740</v>
      </c>
      <c r="G125" s="159">
        <v>69960</v>
      </c>
      <c r="H125" s="173">
        <f>349800+34980</f>
        <v>384780</v>
      </c>
      <c r="I125" s="92">
        <f>10+1</f>
        <v>11</v>
      </c>
    </row>
    <row r="126" spans="1:9" ht="15" customHeight="1" x14ac:dyDescent="0.25">
      <c r="C126" s="48">
        <v>15</v>
      </c>
      <c r="D126" s="38" t="s">
        <v>882</v>
      </c>
      <c r="E126" s="94">
        <v>3072000</v>
      </c>
      <c r="F126" s="158">
        <f>590296.5+41865</f>
        <v>632161.5</v>
      </c>
      <c r="G126" s="159">
        <v>0</v>
      </c>
      <c r="H126" s="158">
        <f>590296.5+41865</f>
        <v>632161.5</v>
      </c>
      <c r="I126" s="92">
        <f>14+1</f>
        <v>15</v>
      </c>
    </row>
    <row r="127" spans="1:9" ht="15" customHeight="1" x14ac:dyDescent="0.25">
      <c r="C127" s="48"/>
      <c r="D127" s="38" t="s">
        <v>1035</v>
      </c>
      <c r="E127" s="94">
        <v>3000000</v>
      </c>
      <c r="F127" s="158">
        <f>327000+40875</f>
        <v>367875</v>
      </c>
      <c r="G127" s="159">
        <v>0</v>
      </c>
      <c r="H127" s="158">
        <f>327000+40875</f>
        <v>367875</v>
      </c>
      <c r="I127" s="92">
        <f>8+1</f>
        <v>9</v>
      </c>
    </row>
    <row r="128" spans="1:9" ht="15" customHeight="1" x14ac:dyDescent="0.25">
      <c r="C128" s="48"/>
      <c r="D128" s="38" t="s">
        <v>883</v>
      </c>
      <c r="E128" s="94">
        <v>1700000</v>
      </c>
      <c r="F128" s="158">
        <v>92650</v>
      </c>
      <c r="G128" s="159">
        <v>0</v>
      </c>
      <c r="H128" s="173">
        <v>92650</v>
      </c>
      <c r="I128" s="92">
        <v>4</v>
      </c>
    </row>
    <row r="129" spans="1:9" x14ac:dyDescent="0.25">
      <c r="C129" s="48">
        <v>4</v>
      </c>
      <c r="D129" s="38" t="s">
        <v>884</v>
      </c>
      <c r="E129" s="94">
        <v>5222000</v>
      </c>
      <c r="F129" s="158">
        <f>782622.5+71147.5</f>
        <v>853770</v>
      </c>
      <c r="G129" s="159">
        <v>71147.5</v>
      </c>
      <c r="H129" s="173">
        <f>711475+71147.5</f>
        <v>782622.5</v>
      </c>
      <c r="I129" s="92">
        <f>10+1</f>
        <v>11</v>
      </c>
    </row>
    <row r="130" spans="1:9" ht="15" customHeight="1" x14ac:dyDescent="0.25">
      <c r="C130" s="48"/>
      <c r="D130" s="38" t="s">
        <v>1080</v>
      </c>
      <c r="E130" s="93">
        <v>2080000</v>
      </c>
      <c r="F130" s="158">
        <v>56680</v>
      </c>
      <c r="G130" s="159">
        <v>0</v>
      </c>
      <c r="H130" s="173">
        <v>56680</v>
      </c>
      <c r="I130" s="92">
        <v>2</v>
      </c>
    </row>
    <row r="131" spans="1:9" ht="15" customHeight="1" x14ac:dyDescent="0.25">
      <c r="A131" s="282"/>
      <c r="C131" s="48">
        <v>15</v>
      </c>
      <c r="D131" s="38" t="s">
        <v>885</v>
      </c>
      <c r="E131" s="94">
        <v>12063000</v>
      </c>
      <c r="F131" s="158">
        <f>2111025+150787.5</f>
        <v>2261812.5</v>
      </c>
      <c r="G131" s="159">
        <v>0</v>
      </c>
      <c r="H131" s="158">
        <f>2111025+150787.5</f>
        <v>2261812.5</v>
      </c>
      <c r="I131" s="92">
        <f>14+1</f>
        <v>15</v>
      </c>
    </row>
    <row r="132" spans="1:9" x14ac:dyDescent="0.25">
      <c r="C132" s="48">
        <v>4</v>
      </c>
      <c r="D132" s="38" t="s">
        <v>886</v>
      </c>
      <c r="E132" s="94">
        <v>4060000</v>
      </c>
      <c r="F132" s="158">
        <f>474501.22+55317.5</f>
        <v>529818.72</v>
      </c>
      <c r="G132" s="159">
        <v>55317.5</v>
      </c>
      <c r="H132" s="173">
        <f>419183.72+55317.5</f>
        <v>474501.22</v>
      </c>
      <c r="I132" s="92">
        <f>8+1</f>
        <v>9</v>
      </c>
    </row>
    <row r="133" spans="1:9" ht="15" customHeight="1" x14ac:dyDescent="0.25">
      <c r="C133" s="48">
        <v>15</v>
      </c>
      <c r="D133" s="38" t="s">
        <v>887</v>
      </c>
      <c r="E133" s="94">
        <v>4000000</v>
      </c>
      <c r="F133" s="158">
        <f>705472.22+54500</f>
        <v>759972.22</v>
      </c>
      <c r="G133" s="159">
        <v>0</v>
      </c>
      <c r="H133" s="158">
        <f>705472.22+54500</f>
        <v>759972.22</v>
      </c>
      <c r="I133" s="92">
        <f>13+1</f>
        <v>14</v>
      </c>
    </row>
    <row r="134" spans="1:9" ht="15" customHeight="1" x14ac:dyDescent="0.25">
      <c r="C134" s="48"/>
      <c r="D134" s="37" t="s">
        <v>1128</v>
      </c>
      <c r="E134" s="94">
        <v>6229000</v>
      </c>
      <c r="F134" s="158">
        <f>339440+84860</f>
        <v>424300</v>
      </c>
      <c r="G134" s="159">
        <v>0</v>
      </c>
      <c r="H134" s="158">
        <f>339440+84860</f>
        <v>424300</v>
      </c>
      <c r="I134" s="92">
        <f>4+1</f>
        <v>5</v>
      </c>
    </row>
    <row r="135" spans="1:9" ht="15" customHeight="1" x14ac:dyDescent="0.25">
      <c r="C135" s="48">
        <v>37</v>
      </c>
      <c r="D135" s="38" t="s">
        <v>888</v>
      </c>
      <c r="E135" s="94">
        <v>1549000</v>
      </c>
      <c r="F135" s="158">
        <f>307518.22+21095</f>
        <v>328613.21999999997</v>
      </c>
      <c r="G135" s="159">
        <v>0</v>
      </c>
      <c r="H135" s="158">
        <f>307518.22+21095</f>
        <v>328613.21999999997</v>
      </c>
      <c r="I135" s="92">
        <f>15+1</f>
        <v>16</v>
      </c>
    </row>
    <row r="136" spans="1:9" ht="15" customHeight="1" x14ac:dyDescent="0.25">
      <c r="A136" s="282"/>
      <c r="C136" s="48"/>
      <c r="D136" s="38" t="s">
        <v>889</v>
      </c>
      <c r="E136" s="94">
        <v>2900000</v>
      </c>
      <c r="F136" s="158">
        <f>395125+39512.5</f>
        <v>434637.5</v>
      </c>
      <c r="G136" s="159">
        <v>0</v>
      </c>
      <c r="H136" s="158">
        <f>395125+39512.5</f>
        <v>434637.5</v>
      </c>
      <c r="I136" s="92">
        <f>10+1</f>
        <v>11</v>
      </c>
    </row>
    <row r="137" spans="1:9" ht="15" customHeight="1" x14ac:dyDescent="0.25">
      <c r="C137" s="48">
        <v>15</v>
      </c>
      <c r="D137" s="38" t="s">
        <v>890</v>
      </c>
      <c r="E137" s="94">
        <v>50236000</v>
      </c>
      <c r="F137" s="158">
        <f>7529170+684470</f>
        <v>8213640</v>
      </c>
      <c r="G137" s="159">
        <v>0</v>
      </c>
      <c r="H137" s="158">
        <f>7529170+684470</f>
        <v>8213640</v>
      </c>
      <c r="I137" s="92">
        <f>11+1</f>
        <v>12</v>
      </c>
    </row>
    <row r="138" spans="1:9" ht="15" customHeight="1" x14ac:dyDescent="0.25">
      <c r="C138" s="48"/>
      <c r="D138" s="38" t="s">
        <v>891</v>
      </c>
      <c r="E138" s="94">
        <v>8700000</v>
      </c>
      <c r="F138" s="158">
        <f>1652939.58+118537.5</f>
        <v>1771477.08</v>
      </c>
      <c r="G138" s="159">
        <v>0</v>
      </c>
      <c r="H138" s="158">
        <f>1652939.58+118537.5</f>
        <v>1771477.08</v>
      </c>
      <c r="I138" s="92">
        <f>14+1</f>
        <v>15</v>
      </c>
    </row>
    <row r="139" spans="1:9" x14ac:dyDescent="0.25">
      <c r="C139" s="48">
        <v>4</v>
      </c>
      <c r="D139" s="38" t="s">
        <v>892</v>
      </c>
      <c r="E139" s="94">
        <v>2861000</v>
      </c>
      <c r="F139" s="158">
        <f>198798+38980</f>
        <v>237778</v>
      </c>
      <c r="G139" s="158">
        <v>81858</v>
      </c>
      <c r="H139" s="173">
        <f>116940+38980</f>
        <v>155920</v>
      </c>
      <c r="I139" s="92">
        <f>3+1</f>
        <v>4</v>
      </c>
    </row>
    <row r="140" spans="1:9" ht="15.75" customHeight="1" x14ac:dyDescent="0.25">
      <c r="C140" s="227"/>
      <c r="D140" s="149" t="s">
        <v>1129</v>
      </c>
      <c r="E140" s="228">
        <v>5500000</v>
      </c>
      <c r="F140" s="230">
        <f>449625+74937.5</f>
        <v>524562.5</v>
      </c>
      <c r="G140" s="230">
        <v>0</v>
      </c>
      <c r="H140" s="230">
        <f>449625+74937.5</f>
        <v>524562.5</v>
      </c>
      <c r="I140" s="227">
        <f>6+1</f>
        <v>7</v>
      </c>
    </row>
    <row r="141" spans="1:9" ht="15.75" customHeight="1" thickBot="1" x14ac:dyDescent="0.3">
      <c r="C141" s="192"/>
      <c r="D141" s="262" t="s">
        <v>1358</v>
      </c>
      <c r="E141" s="263">
        <v>4700000</v>
      </c>
      <c r="F141" s="188">
        <v>61967.5</v>
      </c>
      <c r="G141" s="188">
        <v>0</v>
      </c>
      <c r="H141" s="188">
        <v>61967.5</v>
      </c>
      <c r="I141" s="192">
        <v>1</v>
      </c>
    </row>
    <row r="142" spans="1:9" ht="15" customHeight="1" x14ac:dyDescent="0.25">
      <c r="C142" s="92"/>
      <c r="D142" s="100" t="s">
        <v>944</v>
      </c>
      <c r="E142" s="101"/>
      <c r="F142" s="159"/>
      <c r="G142" s="159"/>
      <c r="H142" s="174"/>
      <c r="I142" s="92"/>
    </row>
    <row r="143" spans="1:9" ht="15" customHeight="1" x14ac:dyDescent="0.25">
      <c r="A143" s="282"/>
      <c r="C143" s="48">
        <v>37</v>
      </c>
      <c r="D143" s="38" t="s">
        <v>893</v>
      </c>
      <c r="E143" s="94">
        <v>12000000</v>
      </c>
      <c r="F143" s="173">
        <f>2768700+251700</f>
        <v>3020400</v>
      </c>
      <c r="G143" s="159">
        <v>0</v>
      </c>
      <c r="H143" s="173">
        <f>2768700+251700</f>
        <v>3020400</v>
      </c>
      <c r="I143" s="92">
        <f>11+1</f>
        <v>12</v>
      </c>
    </row>
    <row r="144" spans="1:9" ht="15" customHeight="1" x14ac:dyDescent="0.25">
      <c r="C144" s="48"/>
      <c r="D144" s="38" t="s">
        <v>941</v>
      </c>
      <c r="E144" s="94">
        <v>5586000</v>
      </c>
      <c r="F144" s="158">
        <f>1054404+117156</f>
        <v>1171560</v>
      </c>
      <c r="G144" s="159">
        <v>0</v>
      </c>
      <c r="H144" s="158">
        <f>1054404+117156</f>
        <v>1171560</v>
      </c>
      <c r="I144" s="92">
        <f>9+1</f>
        <v>10</v>
      </c>
    </row>
    <row r="145" spans="1:9" ht="15" customHeight="1" x14ac:dyDescent="0.25">
      <c r="C145" s="48"/>
      <c r="D145" s="38" t="s">
        <v>1155</v>
      </c>
      <c r="E145" s="94">
        <v>2400000</v>
      </c>
      <c r="F145" s="158">
        <f>251700+50340</f>
        <v>302040</v>
      </c>
      <c r="G145" s="159">
        <v>0</v>
      </c>
      <c r="H145" s="158">
        <f>251700+50340</f>
        <v>302040</v>
      </c>
      <c r="I145" s="92">
        <f>5+1</f>
        <v>6</v>
      </c>
    </row>
    <row r="146" spans="1:9" ht="15" customHeight="1" x14ac:dyDescent="0.25">
      <c r="C146" s="48"/>
      <c r="D146" s="37" t="s">
        <v>1125</v>
      </c>
      <c r="E146" s="93">
        <v>4400000</v>
      </c>
      <c r="F146" s="158">
        <f>535524+89254</f>
        <v>624778</v>
      </c>
      <c r="G146" s="159">
        <v>0</v>
      </c>
      <c r="H146" s="158">
        <f>535524+89254</f>
        <v>624778</v>
      </c>
      <c r="I146" s="92">
        <f>6+1</f>
        <v>7</v>
      </c>
    </row>
    <row r="147" spans="1:9" ht="15" customHeight="1" x14ac:dyDescent="0.25">
      <c r="C147" s="48">
        <v>28</v>
      </c>
      <c r="D147" s="38" t="s">
        <v>895</v>
      </c>
      <c r="E147" s="94">
        <v>17969000</v>
      </c>
      <c r="F147" s="158">
        <f>3768842.5+376884.25</f>
        <v>4145726.75</v>
      </c>
      <c r="G147" s="159">
        <v>0</v>
      </c>
      <c r="H147" s="158">
        <f>3768842.5+376884.25</f>
        <v>4145726.75</v>
      </c>
      <c r="I147" s="92">
        <f>10+1</f>
        <v>11</v>
      </c>
    </row>
    <row r="148" spans="1:9" ht="15" customHeight="1" x14ac:dyDescent="0.25">
      <c r="C148" s="48"/>
      <c r="D148" s="38" t="s">
        <v>1036</v>
      </c>
      <c r="E148" s="94">
        <v>8400000</v>
      </c>
      <c r="F148" s="158">
        <f>1409520+176190</f>
        <v>1585710</v>
      </c>
      <c r="G148" s="159">
        <v>0</v>
      </c>
      <c r="H148" s="158">
        <f>1409520+176190</f>
        <v>1585710</v>
      </c>
      <c r="I148" s="92">
        <f>8+1</f>
        <v>9</v>
      </c>
    </row>
    <row r="149" spans="1:9" ht="15" customHeight="1" x14ac:dyDescent="0.25">
      <c r="C149" s="48"/>
      <c r="D149" s="37" t="s">
        <v>1276</v>
      </c>
      <c r="E149" s="94">
        <v>17300000</v>
      </c>
      <c r="F149" s="158">
        <f>701999+350999.5</f>
        <v>1052998.5</v>
      </c>
      <c r="G149" s="159">
        <v>0</v>
      </c>
      <c r="H149" s="158">
        <f>701999+350999.5</f>
        <v>1052998.5</v>
      </c>
      <c r="I149" s="92">
        <f>2+1</f>
        <v>3</v>
      </c>
    </row>
    <row r="150" spans="1:9" x14ac:dyDescent="0.25">
      <c r="C150" s="48"/>
      <c r="D150" s="37" t="s">
        <v>1277</v>
      </c>
      <c r="E150" s="94">
        <v>2500000</v>
      </c>
      <c r="F150" s="261">
        <f>103633+51816.5</f>
        <v>155449.5</v>
      </c>
      <c r="G150" s="221">
        <v>0</v>
      </c>
      <c r="H150" s="261">
        <f>103633+51816.5</f>
        <v>155449.5</v>
      </c>
      <c r="I150" s="92">
        <f>2+1</f>
        <v>3</v>
      </c>
    </row>
    <row r="151" spans="1:9" ht="15" customHeight="1" x14ac:dyDescent="0.25">
      <c r="C151" s="48"/>
      <c r="D151" s="38" t="s">
        <v>942</v>
      </c>
      <c r="E151" s="94">
        <v>6349000</v>
      </c>
      <c r="F151" s="158">
        <f>1198392.75+133154.75</f>
        <v>1331547.5</v>
      </c>
      <c r="G151" s="159">
        <v>0</v>
      </c>
      <c r="H151" s="158">
        <f>1198392.75+133154.75</f>
        <v>1331547.5</v>
      </c>
      <c r="I151" s="92">
        <f>9+1</f>
        <v>10</v>
      </c>
    </row>
    <row r="152" spans="1:9" ht="15" customHeight="1" x14ac:dyDescent="0.25">
      <c r="C152" s="48"/>
      <c r="D152" s="37" t="s">
        <v>1303</v>
      </c>
      <c r="E152" s="94">
        <v>1100000</v>
      </c>
      <c r="F152" s="158">
        <f>23072.5+23072.5</f>
        <v>46145</v>
      </c>
      <c r="G152" s="159">
        <v>0</v>
      </c>
      <c r="H152" s="158">
        <f>23072.5+23072.5</f>
        <v>46145</v>
      </c>
      <c r="I152" s="92">
        <f>1+1</f>
        <v>2</v>
      </c>
    </row>
    <row r="153" spans="1:9" x14ac:dyDescent="0.25">
      <c r="C153" s="49" t="s">
        <v>1254</v>
      </c>
      <c r="D153" s="38" t="s">
        <v>896</v>
      </c>
      <c r="E153" s="94">
        <v>10750000</v>
      </c>
      <c r="F153" s="158">
        <f>2254985+225498.5</f>
        <v>2480483.5</v>
      </c>
      <c r="G153" s="159">
        <v>676495.5</v>
      </c>
      <c r="H153" s="173">
        <f>1578489.5+225498.5</f>
        <v>1803988</v>
      </c>
      <c r="I153" s="92">
        <f>7+1</f>
        <v>8</v>
      </c>
    </row>
    <row r="154" spans="1:9" ht="15.75" customHeight="1" x14ac:dyDescent="0.25">
      <c r="A154" s="282"/>
      <c r="C154" s="48">
        <v>15</v>
      </c>
      <c r="D154" s="37" t="s">
        <v>1328</v>
      </c>
      <c r="E154" s="94">
        <v>15000000</v>
      </c>
      <c r="F154" s="158">
        <f>1887750+314625</f>
        <v>2202375</v>
      </c>
      <c r="G154" s="158">
        <v>0</v>
      </c>
      <c r="H154" s="158">
        <f>1887750+314625</f>
        <v>2202375</v>
      </c>
      <c r="I154" s="92">
        <f>6+1</f>
        <v>7</v>
      </c>
    </row>
    <row r="156" spans="1:9" x14ac:dyDescent="0.25">
      <c r="C156" s="180" t="s">
        <v>1232</v>
      </c>
    </row>
  </sheetData>
  <autoFilter ref="C11:I154"/>
  <mergeCells count="5">
    <mergeCell ref="C1:I1"/>
    <mergeCell ref="C2:I2"/>
    <mergeCell ref="G7:H7"/>
    <mergeCell ref="G8:H8"/>
    <mergeCell ref="G9:H9"/>
  </mergeCells>
  <pageMargins left="0.7" right="0.7" top="0.75" bottom="0.75" header="0.3" footer="0.3"/>
  <pageSetup paperSize="5" scale="55" fitToHeight="5" orientation="landscape" r:id="rId1"/>
  <rowBreaks count="2" manualBreakCount="2">
    <brk id="56" max="10" man="1"/>
    <brk id="116" max="10" man="1"/>
  </rowBreaks>
  <ignoredErrors>
    <ignoredError sqref="I27 I30 I33 I3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I69"/>
  <sheetViews>
    <sheetView view="pageBreakPreview" zoomScale="85" zoomScaleNormal="100" zoomScaleSheetLayoutView="85" zoomScalePageLayoutView="85" workbookViewId="0">
      <selection activeCell="D24" sqref="D24"/>
    </sheetView>
  </sheetViews>
  <sheetFormatPr defaultRowHeight="15" x14ac:dyDescent="0.25"/>
  <cols>
    <col min="1" max="2" width="9.140625" style="65"/>
    <col min="3" max="3" width="14" style="111" customWidth="1"/>
    <col min="4" max="4" width="60" style="65" customWidth="1"/>
    <col min="5" max="5" width="23.85546875" style="107" bestFit="1" customWidth="1"/>
    <col min="6" max="6" width="27.5703125" style="108" customWidth="1"/>
    <col min="7" max="7" width="27.5703125" style="109" customWidth="1"/>
    <col min="8" max="8" width="24.140625" style="108" customWidth="1"/>
    <col min="9" max="9" width="22.28515625" style="110" bestFit="1" customWidth="1"/>
    <col min="10" max="249" width="9.140625" style="65"/>
    <col min="250" max="250" width="14" style="65" customWidth="1"/>
    <col min="251" max="251" width="60" style="65" customWidth="1"/>
    <col min="252" max="252" width="23.85546875" style="65" bestFit="1" customWidth="1"/>
    <col min="253" max="254" width="31.5703125" style="65" customWidth="1"/>
    <col min="255" max="255" width="27.140625" style="65" customWidth="1"/>
    <col min="256" max="256" width="21.28515625" style="65" bestFit="1" customWidth="1"/>
    <col min="257" max="257" width="9" style="65" customWidth="1"/>
    <col min="258" max="505" width="9.140625" style="65"/>
    <col min="506" max="506" width="14" style="65" customWidth="1"/>
    <col min="507" max="507" width="60" style="65" customWidth="1"/>
    <col min="508" max="508" width="23.85546875" style="65" bestFit="1" customWidth="1"/>
    <col min="509" max="510" width="31.5703125" style="65" customWidth="1"/>
    <col min="511" max="511" width="27.140625" style="65" customWidth="1"/>
    <col min="512" max="512" width="21.28515625" style="65" bestFit="1" customWidth="1"/>
    <col min="513" max="513" width="9" style="65" customWidth="1"/>
    <col min="514" max="761" width="9.140625" style="65"/>
    <col min="762" max="762" width="14" style="65" customWidth="1"/>
    <col min="763" max="763" width="60" style="65" customWidth="1"/>
    <col min="764" max="764" width="23.85546875" style="65" bestFit="1" customWidth="1"/>
    <col min="765" max="766" width="31.5703125" style="65" customWidth="1"/>
    <col min="767" max="767" width="27.140625" style="65" customWidth="1"/>
    <col min="768" max="768" width="21.28515625" style="65" bestFit="1" customWidth="1"/>
    <col min="769" max="769" width="9" style="65" customWidth="1"/>
    <col min="770" max="1017" width="9.140625" style="65"/>
    <col min="1018" max="1018" width="14" style="65" customWidth="1"/>
    <col min="1019" max="1019" width="60" style="65" customWidth="1"/>
    <col min="1020" max="1020" width="23.85546875" style="65" bestFit="1" customWidth="1"/>
    <col min="1021" max="1022" width="31.5703125" style="65" customWidth="1"/>
    <col min="1023" max="1023" width="27.140625" style="65" customWidth="1"/>
    <col min="1024" max="1024" width="21.28515625" style="65" bestFit="1" customWidth="1"/>
    <col min="1025" max="1025" width="9" style="65" customWidth="1"/>
    <col min="1026" max="1273" width="9.140625" style="65"/>
    <col min="1274" max="1274" width="14" style="65" customWidth="1"/>
    <col min="1275" max="1275" width="60" style="65" customWidth="1"/>
    <col min="1276" max="1276" width="23.85546875" style="65" bestFit="1" customWidth="1"/>
    <col min="1277" max="1278" width="31.5703125" style="65" customWidth="1"/>
    <col min="1279" max="1279" width="27.140625" style="65" customWidth="1"/>
    <col min="1280" max="1280" width="21.28515625" style="65" bestFit="1" customWidth="1"/>
    <col min="1281" max="1281" width="9" style="65" customWidth="1"/>
    <col min="1282" max="1529" width="9.140625" style="65"/>
    <col min="1530" max="1530" width="14" style="65" customWidth="1"/>
    <col min="1531" max="1531" width="60" style="65" customWidth="1"/>
    <col min="1532" max="1532" width="23.85546875" style="65" bestFit="1" customWidth="1"/>
    <col min="1533" max="1534" width="31.5703125" style="65" customWidth="1"/>
    <col min="1535" max="1535" width="27.140625" style="65" customWidth="1"/>
    <col min="1536" max="1536" width="21.28515625" style="65" bestFit="1" customWidth="1"/>
    <col min="1537" max="1537" width="9" style="65" customWidth="1"/>
    <col min="1538" max="1785" width="9.140625" style="65"/>
    <col min="1786" max="1786" width="14" style="65" customWidth="1"/>
    <col min="1787" max="1787" width="60" style="65" customWidth="1"/>
    <col min="1788" max="1788" width="23.85546875" style="65" bestFit="1" customWidth="1"/>
    <col min="1789" max="1790" width="31.5703125" style="65" customWidth="1"/>
    <col min="1791" max="1791" width="27.140625" style="65" customWidth="1"/>
    <col min="1792" max="1792" width="21.28515625" style="65" bestFit="1" customWidth="1"/>
    <col min="1793" max="1793" width="9" style="65" customWidth="1"/>
    <col min="1794" max="2041" width="9.140625" style="65"/>
    <col min="2042" max="2042" width="14" style="65" customWidth="1"/>
    <col min="2043" max="2043" width="60" style="65" customWidth="1"/>
    <col min="2044" max="2044" width="23.85546875" style="65" bestFit="1" customWidth="1"/>
    <col min="2045" max="2046" width="31.5703125" style="65" customWidth="1"/>
    <col min="2047" max="2047" width="27.140625" style="65" customWidth="1"/>
    <col min="2048" max="2048" width="21.28515625" style="65" bestFit="1" customWidth="1"/>
    <col min="2049" max="2049" width="9" style="65" customWidth="1"/>
    <col min="2050" max="2297" width="9.140625" style="65"/>
    <col min="2298" max="2298" width="14" style="65" customWidth="1"/>
    <col min="2299" max="2299" width="60" style="65" customWidth="1"/>
    <col min="2300" max="2300" width="23.85546875" style="65" bestFit="1" customWidth="1"/>
    <col min="2301" max="2302" width="31.5703125" style="65" customWidth="1"/>
    <col min="2303" max="2303" width="27.140625" style="65" customWidth="1"/>
    <col min="2304" max="2304" width="21.28515625" style="65" bestFit="1" customWidth="1"/>
    <col min="2305" max="2305" width="9" style="65" customWidth="1"/>
    <col min="2306" max="2553" width="9.140625" style="65"/>
    <col min="2554" max="2554" width="14" style="65" customWidth="1"/>
    <col min="2555" max="2555" width="60" style="65" customWidth="1"/>
    <col min="2556" max="2556" width="23.85546875" style="65" bestFit="1" customWidth="1"/>
    <col min="2557" max="2558" width="31.5703125" style="65" customWidth="1"/>
    <col min="2559" max="2559" width="27.140625" style="65" customWidth="1"/>
    <col min="2560" max="2560" width="21.28515625" style="65" bestFit="1" customWidth="1"/>
    <col min="2561" max="2561" width="9" style="65" customWidth="1"/>
    <col min="2562" max="2809" width="9.140625" style="65"/>
    <col min="2810" max="2810" width="14" style="65" customWidth="1"/>
    <col min="2811" max="2811" width="60" style="65" customWidth="1"/>
    <col min="2812" max="2812" width="23.85546875" style="65" bestFit="1" customWidth="1"/>
    <col min="2813" max="2814" width="31.5703125" style="65" customWidth="1"/>
    <col min="2815" max="2815" width="27.140625" style="65" customWidth="1"/>
    <col min="2816" max="2816" width="21.28515625" style="65" bestFit="1" customWidth="1"/>
    <col min="2817" max="2817" width="9" style="65" customWidth="1"/>
    <col min="2818" max="3065" width="9.140625" style="65"/>
    <col min="3066" max="3066" width="14" style="65" customWidth="1"/>
    <col min="3067" max="3067" width="60" style="65" customWidth="1"/>
    <col min="3068" max="3068" width="23.85546875" style="65" bestFit="1" customWidth="1"/>
    <col min="3069" max="3070" width="31.5703125" style="65" customWidth="1"/>
    <col min="3071" max="3071" width="27.140625" style="65" customWidth="1"/>
    <col min="3072" max="3072" width="21.28515625" style="65" bestFit="1" customWidth="1"/>
    <col min="3073" max="3073" width="9" style="65" customWidth="1"/>
    <col min="3074" max="3321" width="9.140625" style="65"/>
    <col min="3322" max="3322" width="14" style="65" customWidth="1"/>
    <col min="3323" max="3323" width="60" style="65" customWidth="1"/>
    <col min="3324" max="3324" width="23.85546875" style="65" bestFit="1" customWidth="1"/>
    <col min="3325" max="3326" width="31.5703125" style="65" customWidth="1"/>
    <col min="3327" max="3327" width="27.140625" style="65" customWidth="1"/>
    <col min="3328" max="3328" width="21.28515625" style="65" bestFit="1" customWidth="1"/>
    <col min="3329" max="3329" width="9" style="65" customWidth="1"/>
    <col min="3330" max="3577" width="9.140625" style="65"/>
    <col min="3578" max="3578" width="14" style="65" customWidth="1"/>
    <col min="3579" max="3579" width="60" style="65" customWidth="1"/>
    <col min="3580" max="3580" width="23.85546875" style="65" bestFit="1" customWidth="1"/>
    <col min="3581" max="3582" width="31.5703125" style="65" customWidth="1"/>
    <col min="3583" max="3583" width="27.140625" style="65" customWidth="1"/>
    <col min="3584" max="3584" width="21.28515625" style="65" bestFit="1" customWidth="1"/>
    <col min="3585" max="3585" width="9" style="65" customWidth="1"/>
    <col min="3586" max="3833" width="9.140625" style="65"/>
    <col min="3834" max="3834" width="14" style="65" customWidth="1"/>
    <col min="3835" max="3835" width="60" style="65" customWidth="1"/>
    <col min="3836" max="3836" width="23.85546875" style="65" bestFit="1" customWidth="1"/>
    <col min="3837" max="3838" width="31.5703125" style="65" customWidth="1"/>
    <col min="3839" max="3839" width="27.140625" style="65" customWidth="1"/>
    <col min="3840" max="3840" width="21.28515625" style="65" bestFit="1" customWidth="1"/>
    <col min="3841" max="3841" width="9" style="65" customWidth="1"/>
    <col min="3842" max="4089" width="9.140625" style="65"/>
    <col min="4090" max="4090" width="14" style="65" customWidth="1"/>
    <col min="4091" max="4091" width="60" style="65" customWidth="1"/>
    <col min="4092" max="4092" width="23.85546875" style="65" bestFit="1" customWidth="1"/>
    <col min="4093" max="4094" width="31.5703125" style="65" customWidth="1"/>
    <col min="4095" max="4095" width="27.140625" style="65" customWidth="1"/>
    <col min="4096" max="4096" width="21.28515625" style="65" bestFit="1" customWidth="1"/>
    <col min="4097" max="4097" width="9" style="65" customWidth="1"/>
    <col min="4098" max="4345" width="9.140625" style="65"/>
    <col min="4346" max="4346" width="14" style="65" customWidth="1"/>
    <col min="4347" max="4347" width="60" style="65" customWidth="1"/>
    <col min="4348" max="4348" width="23.85546875" style="65" bestFit="1" customWidth="1"/>
    <col min="4349" max="4350" width="31.5703125" style="65" customWidth="1"/>
    <col min="4351" max="4351" width="27.140625" style="65" customWidth="1"/>
    <col min="4352" max="4352" width="21.28515625" style="65" bestFit="1" customWidth="1"/>
    <col min="4353" max="4353" width="9" style="65" customWidth="1"/>
    <col min="4354" max="4601" width="9.140625" style="65"/>
    <col min="4602" max="4602" width="14" style="65" customWidth="1"/>
    <col min="4603" max="4603" width="60" style="65" customWidth="1"/>
    <col min="4604" max="4604" width="23.85546875" style="65" bestFit="1" customWidth="1"/>
    <col min="4605" max="4606" width="31.5703125" style="65" customWidth="1"/>
    <col min="4607" max="4607" width="27.140625" style="65" customWidth="1"/>
    <col min="4608" max="4608" width="21.28515625" style="65" bestFit="1" customWidth="1"/>
    <col min="4609" max="4609" width="9" style="65" customWidth="1"/>
    <col min="4610" max="4857" width="9.140625" style="65"/>
    <col min="4858" max="4858" width="14" style="65" customWidth="1"/>
    <col min="4859" max="4859" width="60" style="65" customWidth="1"/>
    <col min="4860" max="4860" width="23.85546875" style="65" bestFit="1" customWidth="1"/>
    <col min="4861" max="4862" width="31.5703125" style="65" customWidth="1"/>
    <col min="4863" max="4863" width="27.140625" style="65" customWidth="1"/>
    <col min="4864" max="4864" width="21.28515625" style="65" bestFit="1" customWidth="1"/>
    <col min="4865" max="4865" width="9" style="65" customWidth="1"/>
    <col min="4866" max="5113" width="9.140625" style="65"/>
    <col min="5114" max="5114" width="14" style="65" customWidth="1"/>
    <col min="5115" max="5115" width="60" style="65" customWidth="1"/>
    <col min="5116" max="5116" width="23.85546875" style="65" bestFit="1" customWidth="1"/>
    <col min="5117" max="5118" width="31.5703125" style="65" customWidth="1"/>
    <col min="5119" max="5119" width="27.140625" style="65" customWidth="1"/>
    <col min="5120" max="5120" width="21.28515625" style="65" bestFit="1" customWidth="1"/>
    <col min="5121" max="5121" width="9" style="65" customWidth="1"/>
    <col min="5122" max="5369" width="9.140625" style="65"/>
    <col min="5370" max="5370" width="14" style="65" customWidth="1"/>
    <col min="5371" max="5371" width="60" style="65" customWidth="1"/>
    <col min="5372" max="5372" width="23.85546875" style="65" bestFit="1" customWidth="1"/>
    <col min="5373" max="5374" width="31.5703125" style="65" customWidth="1"/>
    <col min="5375" max="5375" width="27.140625" style="65" customWidth="1"/>
    <col min="5376" max="5376" width="21.28515625" style="65" bestFit="1" customWidth="1"/>
    <col min="5377" max="5377" width="9" style="65" customWidth="1"/>
    <col min="5378" max="5625" width="9.140625" style="65"/>
    <col min="5626" max="5626" width="14" style="65" customWidth="1"/>
    <col min="5627" max="5627" width="60" style="65" customWidth="1"/>
    <col min="5628" max="5628" width="23.85546875" style="65" bestFit="1" customWidth="1"/>
    <col min="5629" max="5630" width="31.5703125" style="65" customWidth="1"/>
    <col min="5631" max="5631" width="27.140625" style="65" customWidth="1"/>
    <col min="5632" max="5632" width="21.28515625" style="65" bestFit="1" customWidth="1"/>
    <col min="5633" max="5633" width="9" style="65" customWidth="1"/>
    <col min="5634" max="5881" width="9.140625" style="65"/>
    <col min="5882" max="5882" width="14" style="65" customWidth="1"/>
    <col min="5883" max="5883" width="60" style="65" customWidth="1"/>
    <col min="5884" max="5884" width="23.85546875" style="65" bestFit="1" customWidth="1"/>
    <col min="5885" max="5886" width="31.5703125" style="65" customWidth="1"/>
    <col min="5887" max="5887" width="27.140625" style="65" customWidth="1"/>
    <col min="5888" max="5888" width="21.28515625" style="65" bestFit="1" customWidth="1"/>
    <col min="5889" max="5889" width="9" style="65" customWidth="1"/>
    <col min="5890" max="6137" width="9.140625" style="65"/>
    <col min="6138" max="6138" width="14" style="65" customWidth="1"/>
    <col min="6139" max="6139" width="60" style="65" customWidth="1"/>
    <col min="6140" max="6140" width="23.85546875" style="65" bestFit="1" customWidth="1"/>
    <col min="6141" max="6142" width="31.5703125" style="65" customWidth="1"/>
    <col min="6143" max="6143" width="27.140625" style="65" customWidth="1"/>
    <col min="6144" max="6144" width="21.28515625" style="65" bestFit="1" customWidth="1"/>
    <col min="6145" max="6145" width="9" style="65" customWidth="1"/>
    <col min="6146" max="6393" width="9.140625" style="65"/>
    <col min="6394" max="6394" width="14" style="65" customWidth="1"/>
    <col min="6395" max="6395" width="60" style="65" customWidth="1"/>
    <col min="6396" max="6396" width="23.85546875" style="65" bestFit="1" customWidth="1"/>
    <col min="6397" max="6398" width="31.5703125" style="65" customWidth="1"/>
    <col min="6399" max="6399" width="27.140625" style="65" customWidth="1"/>
    <col min="6400" max="6400" width="21.28515625" style="65" bestFit="1" customWidth="1"/>
    <col min="6401" max="6401" width="9" style="65" customWidth="1"/>
    <col min="6402" max="6649" width="9.140625" style="65"/>
    <col min="6650" max="6650" width="14" style="65" customWidth="1"/>
    <col min="6651" max="6651" width="60" style="65" customWidth="1"/>
    <col min="6652" max="6652" width="23.85546875" style="65" bestFit="1" customWidth="1"/>
    <col min="6653" max="6654" width="31.5703125" style="65" customWidth="1"/>
    <col min="6655" max="6655" width="27.140625" style="65" customWidth="1"/>
    <col min="6656" max="6656" width="21.28515625" style="65" bestFit="1" customWidth="1"/>
    <col min="6657" max="6657" width="9" style="65" customWidth="1"/>
    <col min="6658" max="6905" width="9.140625" style="65"/>
    <col min="6906" max="6906" width="14" style="65" customWidth="1"/>
    <col min="6907" max="6907" width="60" style="65" customWidth="1"/>
    <col min="6908" max="6908" width="23.85546875" style="65" bestFit="1" customWidth="1"/>
    <col min="6909" max="6910" width="31.5703125" style="65" customWidth="1"/>
    <col min="6911" max="6911" width="27.140625" style="65" customWidth="1"/>
    <col min="6912" max="6912" width="21.28515625" style="65" bestFit="1" customWidth="1"/>
    <col min="6913" max="6913" width="9" style="65" customWidth="1"/>
    <col min="6914" max="7161" width="9.140625" style="65"/>
    <col min="7162" max="7162" width="14" style="65" customWidth="1"/>
    <col min="7163" max="7163" width="60" style="65" customWidth="1"/>
    <col min="7164" max="7164" width="23.85546875" style="65" bestFit="1" customWidth="1"/>
    <col min="7165" max="7166" width="31.5703125" style="65" customWidth="1"/>
    <col min="7167" max="7167" width="27.140625" style="65" customWidth="1"/>
    <col min="7168" max="7168" width="21.28515625" style="65" bestFit="1" customWidth="1"/>
    <col min="7169" max="7169" width="9" style="65" customWidth="1"/>
    <col min="7170" max="7417" width="9.140625" style="65"/>
    <col min="7418" max="7418" width="14" style="65" customWidth="1"/>
    <col min="7419" max="7419" width="60" style="65" customWidth="1"/>
    <col min="7420" max="7420" width="23.85546875" style="65" bestFit="1" customWidth="1"/>
    <col min="7421" max="7422" width="31.5703125" style="65" customWidth="1"/>
    <col min="7423" max="7423" width="27.140625" style="65" customWidth="1"/>
    <col min="7424" max="7424" width="21.28515625" style="65" bestFit="1" customWidth="1"/>
    <col min="7425" max="7425" width="9" style="65" customWidth="1"/>
    <col min="7426" max="7673" width="9.140625" style="65"/>
    <col min="7674" max="7674" width="14" style="65" customWidth="1"/>
    <col min="7675" max="7675" width="60" style="65" customWidth="1"/>
    <col min="7676" max="7676" width="23.85546875" style="65" bestFit="1" customWidth="1"/>
    <col min="7677" max="7678" width="31.5703125" style="65" customWidth="1"/>
    <col min="7679" max="7679" width="27.140625" style="65" customWidth="1"/>
    <col min="7680" max="7680" width="21.28515625" style="65" bestFit="1" customWidth="1"/>
    <col min="7681" max="7681" width="9" style="65" customWidth="1"/>
    <col min="7682" max="7929" width="9.140625" style="65"/>
    <col min="7930" max="7930" width="14" style="65" customWidth="1"/>
    <col min="7931" max="7931" width="60" style="65" customWidth="1"/>
    <col min="7932" max="7932" width="23.85546875" style="65" bestFit="1" customWidth="1"/>
    <col min="7933" max="7934" width="31.5703125" style="65" customWidth="1"/>
    <col min="7935" max="7935" width="27.140625" style="65" customWidth="1"/>
    <col min="7936" max="7936" width="21.28515625" style="65" bestFit="1" customWidth="1"/>
    <col min="7937" max="7937" width="9" style="65" customWidth="1"/>
    <col min="7938" max="8185" width="9.140625" style="65"/>
    <col min="8186" max="8186" width="14" style="65" customWidth="1"/>
    <col min="8187" max="8187" width="60" style="65" customWidth="1"/>
    <col min="8188" max="8188" width="23.85546875" style="65" bestFit="1" customWidth="1"/>
    <col min="8189" max="8190" width="31.5703125" style="65" customWidth="1"/>
    <col min="8191" max="8191" width="27.140625" style="65" customWidth="1"/>
    <col min="8192" max="8192" width="21.28515625" style="65" bestFit="1" customWidth="1"/>
    <col min="8193" max="8193" width="9" style="65" customWidth="1"/>
    <col min="8194" max="8441" width="9.140625" style="65"/>
    <col min="8442" max="8442" width="14" style="65" customWidth="1"/>
    <col min="8443" max="8443" width="60" style="65" customWidth="1"/>
    <col min="8444" max="8444" width="23.85546875" style="65" bestFit="1" customWidth="1"/>
    <col min="8445" max="8446" width="31.5703125" style="65" customWidth="1"/>
    <col min="8447" max="8447" width="27.140625" style="65" customWidth="1"/>
    <col min="8448" max="8448" width="21.28515625" style="65" bestFit="1" customWidth="1"/>
    <col min="8449" max="8449" width="9" style="65" customWidth="1"/>
    <col min="8450" max="8697" width="9.140625" style="65"/>
    <col min="8698" max="8698" width="14" style="65" customWidth="1"/>
    <col min="8699" max="8699" width="60" style="65" customWidth="1"/>
    <col min="8700" max="8700" width="23.85546875" style="65" bestFit="1" customWidth="1"/>
    <col min="8701" max="8702" width="31.5703125" style="65" customWidth="1"/>
    <col min="8703" max="8703" width="27.140625" style="65" customWidth="1"/>
    <col min="8704" max="8704" width="21.28515625" style="65" bestFit="1" customWidth="1"/>
    <col min="8705" max="8705" width="9" style="65" customWidth="1"/>
    <col min="8706" max="8953" width="9.140625" style="65"/>
    <col min="8954" max="8954" width="14" style="65" customWidth="1"/>
    <col min="8955" max="8955" width="60" style="65" customWidth="1"/>
    <col min="8956" max="8956" width="23.85546875" style="65" bestFit="1" customWidth="1"/>
    <col min="8957" max="8958" width="31.5703125" style="65" customWidth="1"/>
    <col min="8959" max="8959" width="27.140625" style="65" customWidth="1"/>
    <col min="8960" max="8960" width="21.28515625" style="65" bestFit="1" customWidth="1"/>
    <col min="8961" max="8961" width="9" style="65" customWidth="1"/>
    <col min="8962" max="9209" width="9.140625" style="65"/>
    <col min="9210" max="9210" width="14" style="65" customWidth="1"/>
    <col min="9211" max="9211" width="60" style="65" customWidth="1"/>
    <col min="9212" max="9212" width="23.85546875" style="65" bestFit="1" customWidth="1"/>
    <col min="9213" max="9214" width="31.5703125" style="65" customWidth="1"/>
    <col min="9215" max="9215" width="27.140625" style="65" customWidth="1"/>
    <col min="9216" max="9216" width="21.28515625" style="65" bestFit="1" customWidth="1"/>
    <col min="9217" max="9217" width="9" style="65" customWidth="1"/>
    <col min="9218" max="9465" width="9.140625" style="65"/>
    <col min="9466" max="9466" width="14" style="65" customWidth="1"/>
    <col min="9467" max="9467" width="60" style="65" customWidth="1"/>
    <col min="9468" max="9468" width="23.85546875" style="65" bestFit="1" customWidth="1"/>
    <col min="9469" max="9470" width="31.5703125" style="65" customWidth="1"/>
    <col min="9471" max="9471" width="27.140625" style="65" customWidth="1"/>
    <col min="9472" max="9472" width="21.28515625" style="65" bestFit="1" customWidth="1"/>
    <col min="9473" max="9473" width="9" style="65" customWidth="1"/>
    <col min="9474" max="9721" width="9.140625" style="65"/>
    <col min="9722" max="9722" width="14" style="65" customWidth="1"/>
    <col min="9723" max="9723" width="60" style="65" customWidth="1"/>
    <col min="9724" max="9724" width="23.85546875" style="65" bestFit="1" customWidth="1"/>
    <col min="9725" max="9726" width="31.5703125" style="65" customWidth="1"/>
    <col min="9727" max="9727" width="27.140625" style="65" customWidth="1"/>
    <col min="9728" max="9728" width="21.28515625" style="65" bestFit="1" customWidth="1"/>
    <col min="9729" max="9729" width="9" style="65" customWidth="1"/>
    <col min="9730" max="9977" width="9.140625" style="65"/>
    <col min="9978" max="9978" width="14" style="65" customWidth="1"/>
    <col min="9979" max="9979" width="60" style="65" customWidth="1"/>
    <col min="9980" max="9980" width="23.85546875" style="65" bestFit="1" customWidth="1"/>
    <col min="9981" max="9982" width="31.5703125" style="65" customWidth="1"/>
    <col min="9983" max="9983" width="27.140625" style="65" customWidth="1"/>
    <col min="9984" max="9984" width="21.28515625" style="65" bestFit="1" customWidth="1"/>
    <col min="9985" max="9985" width="9" style="65" customWidth="1"/>
    <col min="9986" max="10233" width="9.140625" style="65"/>
    <col min="10234" max="10234" width="14" style="65" customWidth="1"/>
    <col min="10235" max="10235" width="60" style="65" customWidth="1"/>
    <col min="10236" max="10236" width="23.85546875" style="65" bestFit="1" customWidth="1"/>
    <col min="10237" max="10238" width="31.5703125" style="65" customWidth="1"/>
    <col min="10239" max="10239" width="27.140625" style="65" customWidth="1"/>
    <col min="10240" max="10240" width="21.28515625" style="65" bestFit="1" customWidth="1"/>
    <col min="10241" max="10241" width="9" style="65" customWidth="1"/>
    <col min="10242" max="10489" width="9.140625" style="65"/>
    <col min="10490" max="10490" width="14" style="65" customWidth="1"/>
    <col min="10491" max="10491" width="60" style="65" customWidth="1"/>
    <col min="10492" max="10492" width="23.85546875" style="65" bestFit="1" customWidth="1"/>
    <col min="10493" max="10494" width="31.5703125" style="65" customWidth="1"/>
    <col min="10495" max="10495" width="27.140625" style="65" customWidth="1"/>
    <col min="10496" max="10496" width="21.28515625" style="65" bestFit="1" customWidth="1"/>
    <col min="10497" max="10497" width="9" style="65" customWidth="1"/>
    <col min="10498" max="10745" width="9.140625" style="65"/>
    <col min="10746" max="10746" width="14" style="65" customWidth="1"/>
    <col min="10747" max="10747" width="60" style="65" customWidth="1"/>
    <col min="10748" max="10748" width="23.85546875" style="65" bestFit="1" customWidth="1"/>
    <col min="10749" max="10750" width="31.5703125" style="65" customWidth="1"/>
    <col min="10751" max="10751" width="27.140625" style="65" customWidth="1"/>
    <col min="10752" max="10752" width="21.28515625" style="65" bestFit="1" customWidth="1"/>
    <col min="10753" max="10753" width="9" style="65" customWidth="1"/>
    <col min="10754" max="11001" width="9.140625" style="65"/>
    <col min="11002" max="11002" width="14" style="65" customWidth="1"/>
    <col min="11003" max="11003" width="60" style="65" customWidth="1"/>
    <col min="11004" max="11004" width="23.85546875" style="65" bestFit="1" customWidth="1"/>
    <col min="11005" max="11006" width="31.5703125" style="65" customWidth="1"/>
    <col min="11007" max="11007" width="27.140625" style="65" customWidth="1"/>
    <col min="11008" max="11008" width="21.28515625" style="65" bestFit="1" customWidth="1"/>
    <col min="11009" max="11009" width="9" style="65" customWidth="1"/>
    <col min="11010" max="11257" width="9.140625" style="65"/>
    <col min="11258" max="11258" width="14" style="65" customWidth="1"/>
    <col min="11259" max="11259" width="60" style="65" customWidth="1"/>
    <col min="11260" max="11260" width="23.85546875" style="65" bestFit="1" customWidth="1"/>
    <col min="11261" max="11262" width="31.5703125" style="65" customWidth="1"/>
    <col min="11263" max="11263" width="27.140625" style="65" customWidth="1"/>
    <col min="11264" max="11264" width="21.28515625" style="65" bestFit="1" customWidth="1"/>
    <col min="11265" max="11265" width="9" style="65" customWidth="1"/>
    <col min="11266" max="11513" width="9.140625" style="65"/>
    <col min="11514" max="11514" width="14" style="65" customWidth="1"/>
    <col min="11515" max="11515" width="60" style="65" customWidth="1"/>
    <col min="11516" max="11516" width="23.85546875" style="65" bestFit="1" customWidth="1"/>
    <col min="11517" max="11518" width="31.5703125" style="65" customWidth="1"/>
    <col min="11519" max="11519" width="27.140625" style="65" customWidth="1"/>
    <col min="11520" max="11520" width="21.28515625" style="65" bestFit="1" customWidth="1"/>
    <col min="11521" max="11521" width="9" style="65" customWidth="1"/>
    <col min="11522" max="11769" width="9.140625" style="65"/>
    <col min="11770" max="11770" width="14" style="65" customWidth="1"/>
    <col min="11771" max="11771" width="60" style="65" customWidth="1"/>
    <col min="11772" max="11772" width="23.85546875" style="65" bestFit="1" customWidth="1"/>
    <col min="11773" max="11774" width="31.5703125" style="65" customWidth="1"/>
    <col min="11775" max="11775" width="27.140625" style="65" customWidth="1"/>
    <col min="11776" max="11776" width="21.28515625" style="65" bestFit="1" customWidth="1"/>
    <col min="11777" max="11777" width="9" style="65" customWidth="1"/>
    <col min="11778" max="12025" width="9.140625" style="65"/>
    <col min="12026" max="12026" width="14" style="65" customWidth="1"/>
    <col min="12027" max="12027" width="60" style="65" customWidth="1"/>
    <col min="12028" max="12028" width="23.85546875" style="65" bestFit="1" customWidth="1"/>
    <col min="12029" max="12030" width="31.5703125" style="65" customWidth="1"/>
    <col min="12031" max="12031" width="27.140625" style="65" customWidth="1"/>
    <col min="12032" max="12032" width="21.28515625" style="65" bestFit="1" customWidth="1"/>
    <col min="12033" max="12033" width="9" style="65" customWidth="1"/>
    <col min="12034" max="12281" width="9.140625" style="65"/>
    <col min="12282" max="12282" width="14" style="65" customWidth="1"/>
    <col min="12283" max="12283" width="60" style="65" customWidth="1"/>
    <col min="12284" max="12284" width="23.85546875" style="65" bestFit="1" customWidth="1"/>
    <col min="12285" max="12286" width="31.5703125" style="65" customWidth="1"/>
    <col min="12287" max="12287" width="27.140625" style="65" customWidth="1"/>
    <col min="12288" max="12288" width="21.28515625" style="65" bestFit="1" customWidth="1"/>
    <col min="12289" max="12289" width="9" style="65" customWidth="1"/>
    <col min="12290" max="12537" width="9.140625" style="65"/>
    <col min="12538" max="12538" width="14" style="65" customWidth="1"/>
    <col min="12539" max="12539" width="60" style="65" customWidth="1"/>
    <col min="12540" max="12540" width="23.85546875" style="65" bestFit="1" customWidth="1"/>
    <col min="12541" max="12542" width="31.5703125" style="65" customWidth="1"/>
    <col min="12543" max="12543" width="27.140625" style="65" customWidth="1"/>
    <col min="12544" max="12544" width="21.28515625" style="65" bestFit="1" customWidth="1"/>
    <col min="12545" max="12545" width="9" style="65" customWidth="1"/>
    <col min="12546" max="12793" width="9.140625" style="65"/>
    <col min="12794" max="12794" width="14" style="65" customWidth="1"/>
    <col min="12795" max="12795" width="60" style="65" customWidth="1"/>
    <col min="12796" max="12796" width="23.85546875" style="65" bestFit="1" customWidth="1"/>
    <col min="12797" max="12798" width="31.5703125" style="65" customWidth="1"/>
    <col min="12799" max="12799" width="27.140625" style="65" customWidth="1"/>
    <col min="12800" max="12800" width="21.28515625" style="65" bestFit="1" customWidth="1"/>
    <col min="12801" max="12801" width="9" style="65" customWidth="1"/>
    <col min="12802" max="13049" width="9.140625" style="65"/>
    <col min="13050" max="13050" width="14" style="65" customWidth="1"/>
    <col min="13051" max="13051" width="60" style="65" customWidth="1"/>
    <col min="13052" max="13052" width="23.85546875" style="65" bestFit="1" customWidth="1"/>
    <col min="13053" max="13054" width="31.5703125" style="65" customWidth="1"/>
    <col min="13055" max="13055" width="27.140625" style="65" customWidth="1"/>
    <col min="13056" max="13056" width="21.28515625" style="65" bestFit="1" customWidth="1"/>
    <col min="13057" max="13057" width="9" style="65" customWidth="1"/>
    <col min="13058" max="13305" width="9.140625" style="65"/>
    <col min="13306" max="13306" width="14" style="65" customWidth="1"/>
    <col min="13307" max="13307" width="60" style="65" customWidth="1"/>
    <col min="13308" max="13308" width="23.85546875" style="65" bestFit="1" customWidth="1"/>
    <col min="13309" max="13310" width="31.5703125" style="65" customWidth="1"/>
    <col min="13311" max="13311" width="27.140625" style="65" customWidth="1"/>
    <col min="13312" max="13312" width="21.28515625" style="65" bestFit="1" customWidth="1"/>
    <col min="13313" max="13313" width="9" style="65" customWidth="1"/>
    <col min="13314" max="13561" width="9.140625" style="65"/>
    <col min="13562" max="13562" width="14" style="65" customWidth="1"/>
    <col min="13563" max="13563" width="60" style="65" customWidth="1"/>
    <col min="13564" max="13564" width="23.85546875" style="65" bestFit="1" customWidth="1"/>
    <col min="13565" max="13566" width="31.5703125" style="65" customWidth="1"/>
    <col min="13567" max="13567" width="27.140625" style="65" customWidth="1"/>
    <col min="13568" max="13568" width="21.28515625" style="65" bestFit="1" customWidth="1"/>
    <col min="13569" max="13569" width="9" style="65" customWidth="1"/>
    <col min="13570" max="13817" width="9.140625" style="65"/>
    <col min="13818" max="13818" width="14" style="65" customWidth="1"/>
    <col min="13819" max="13819" width="60" style="65" customWidth="1"/>
    <col min="13820" max="13820" width="23.85546875" style="65" bestFit="1" customWidth="1"/>
    <col min="13821" max="13822" width="31.5703125" style="65" customWidth="1"/>
    <col min="13823" max="13823" width="27.140625" style="65" customWidth="1"/>
    <col min="13824" max="13824" width="21.28515625" style="65" bestFit="1" customWidth="1"/>
    <col min="13825" max="13825" width="9" style="65" customWidth="1"/>
    <col min="13826" max="14073" width="9.140625" style="65"/>
    <col min="14074" max="14074" width="14" style="65" customWidth="1"/>
    <col min="14075" max="14075" width="60" style="65" customWidth="1"/>
    <col min="14076" max="14076" width="23.85546875" style="65" bestFit="1" customWidth="1"/>
    <col min="14077" max="14078" width="31.5703125" style="65" customWidth="1"/>
    <col min="14079" max="14079" width="27.140625" style="65" customWidth="1"/>
    <col min="14080" max="14080" width="21.28515625" style="65" bestFit="1" customWidth="1"/>
    <col min="14081" max="14081" width="9" style="65" customWidth="1"/>
    <col min="14082" max="14329" width="9.140625" style="65"/>
    <col min="14330" max="14330" width="14" style="65" customWidth="1"/>
    <col min="14331" max="14331" width="60" style="65" customWidth="1"/>
    <col min="14332" max="14332" width="23.85546875" style="65" bestFit="1" customWidth="1"/>
    <col min="14333" max="14334" width="31.5703125" style="65" customWidth="1"/>
    <col min="14335" max="14335" width="27.140625" style="65" customWidth="1"/>
    <col min="14336" max="14336" width="21.28515625" style="65" bestFit="1" customWidth="1"/>
    <col min="14337" max="14337" width="9" style="65" customWidth="1"/>
    <col min="14338" max="14585" width="9.140625" style="65"/>
    <col min="14586" max="14586" width="14" style="65" customWidth="1"/>
    <col min="14587" max="14587" width="60" style="65" customWidth="1"/>
    <col min="14588" max="14588" width="23.85546875" style="65" bestFit="1" customWidth="1"/>
    <col min="14589" max="14590" width="31.5703125" style="65" customWidth="1"/>
    <col min="14591" max="14591" width="27.140625" style="65" customWidth="1"/>
    <col min="14592" max="14592" width="21.28515625" style="65" bestFit="1" customWidth="1"/>
    <col min="14593" max="14593" width="9" style="65" customWidth="1"/>
    <col min="14594" max="14841" width="9.140625" style="65"/>
    <col min="14842" max="14842" width="14" style="65" customWidth="1"/>
    <col min="14843" max="14843" width="60" style="65" customWidth="1"/>
    <col min="14844" max="14844" width="23.85546875" style="65" bestFit="1" customWidth="1"/>
    <col min="14845" max="14846" width="31.5703125" style="65" customWidth="1"/>
    <col min="14847" max="14847" width="27.140625" style="65" customWidth="1"/>
    <col min="14848" max="14848" width="21.28515625" style="65" bestFit="1" customWidth="1"/>
    <col min="14849" max="14849" width="9" style="65" customWidth="1"/>
    <col min="14850" max="15097" width="9.140625" style="65"/>
    <col min="15098" max="15098" width="14" style="65" customWidth="1"/>
    <col min="15099" max="15099" width="60" style="65" customWidth="1"/>
    <col min="15100" max="15100" width="23.85546875" style="65" bestFit="1" customWidth="1"/>
    <col min="15101" max="15102" width="31.5703125" style="65" customWidth="1"/>
    <col min="15103" max="15103" width="27.140625" style="65" customWidth="1"/>
    <col min="15104" max="15104" width="21.28515625" style="65" bestFit="1" customWidth="1"/>
    <col min="15105" max="15105" width="9" style="65" customWidth="1"/>
    <col min="15106" max="15353" width="9.140625" style="65"/>
    <col min="15354" max="15354" width="14" style="65" customWidth="1"/>
    <col min="15355" max="15355" width="60" style="65" customWidth="1"/>
    <col min="15356" max="15356" width="23.85546875" style="65" bestFit="1" customWidth="1"/>
    <col min="15357" max="15358" width="31.5703125" style="65" customWidth="1"/>
    <col min="15359" max="15359" width="27.140625" style="65" customWidth="1"/>
    <col min="15360" max="15360" width="21.28515625" style="65" bestFit="1" customWidth="1"/>
    <col min="15361" max="15361" width="9" style="65" customWidth="1"/>
    <col min="15362" max="15609" width="9.140625" style="65"/>
    <col min="15610" max="15610" width="14" style="65" customWidth="1"/>
    <col min="15611" max="15611" width="60" style="65" customWidth="1"/>
    <col min="15612" max="15612" width="23.85546875" style="65" bestFit="1" customWidth="1"/>
    <col min="15613" max="15614" width="31.5703125" style="65" customWidth="1"/>
    <col min="15615" max="15615" width="27.140625" style="65" customWidth="1"/>
    <col min="15616" max="15616" width="21.28515625" style="65" bestFit="1" customWidth="1"/>
    <col min="15617" max="15617" width="9" style="65" customWidth="1"/>
    <col min="15618" max="15865" width="9.140625" style="65"/>
    <col min="15866" max="15866" width="14" style="65" customWidth="1"/>
    <col min="15867" max="15867" width="60" style="65" customWidth="1"/>
    <col min="15868" max="15868" width="23.85546875" style="65" bestFit="1" customWidth="1"/>
    <col min="15869" max="15870" width="31.5703125" style="65" customWidth="1"/>
    <col min="15871" max="15871" width="27.140625" style="65" customWidth="1"/>
    <col min="15872" max="15872" width="21.28515625" style="65" bestFit="1" customWidth="1"/>
    <col min="15873" max="15873" width="9" style="65" customWidth="1"/>
    <col min="15874" max="16121" width="9.140625" style="65"/>
    <col min="16122" max="16122" width="14" style="65" customWidth="1"/>
    <col min="16123" max="16123" width="60" style="65" customWidth="1"/>
    <col min="16124" max="16124" width="23.85546875" style="65" bestFit="1" customWidth="1"/>
    <col min="16125" max="16126" width="31.5703125" style="65" customWidth="1"/>
    <col min="16127" max="16127" width="27.140625" style="65" customWidth="1"/>
    <col min="16128" max="16128" width="21.28515625" style="65" bestFit="1" customWidth="1"/>
    <col min="16129" max="16129" width="9" style="65" customWidth="1"/>
    <col min="16130" max="16384" width="9.140625" style="65"/>
  </cols>
  <sheetData>
    <row r="1" spans="3:9" x14ac:dyDescent="0.25">
      <c r="C1" s="114" t="s">
        <v>754</v>
      </c>
      <c r="D1" s="115"/>
      <c r="E1" s="115"/>
      <c r="F1" s="116"/>
      <c r="G1" s="117"/>
      <c r="H1" s="116"/>
      <c r="I1" s="118"/>
    </row>
    <row r="2" spans="3:9" x14ac:dyDescent="0.25">
      <c r="C2" s="119"/>
      <c r="D2" s="120"/>
      <c r="E2" s="120"/>
      <c r="F2" s="104"/>
      <c r="G2" s="105"/>
      <c r="H2" s="104"/>
      <c r="I2" s="106"/>
    </row>
    <row r="3" spans="3:9" x14ac:dyDescent="0.25">
      <c r="C3" s="121" t="s">
        <v>901</v>
      </c>
      <c r="D3" s="122"/>
      <c r="E3" s="243"/>
      <c r="F3" s="123"/>
      <c r="G3" s="124"/>
      <c r="H3" s="123"/>
      <c r="I3" s="106"/>
    </row>
    <row r="4" spans="3:9" x14ac:dyDescent="0.25">
      <c r="C4" s="125" t="s">
        <v>1041</v>
      </c>
      <c r="D4" s="125"/>
      <c r="E4" s="125"/>
      <c r="F4" s="126"/>
      <c r="G4" s="127"/>
      <c r="H4" s="126"/>
      <c r="I4" s="106"/>
    </row>
    <row r="5" spans="3:9" ht="15" customHeight="1" x14ac:dyDescent="0.25">
      <c r="C5" s="349" t="s">
        <v>1064</v>
      </c>
      <c r="D5" s="349"/>
      <c r="E5" s="349"/>
      <c r="F5" s="349"/>
      <c r="G5" s="349"/>
      <c r="H5" s="349"/>
      <c r="I5" s="349"/>
    </row>
    <row r="6" spans="3:9" x14ac:dyDescent="0.25">
      <c r="C6" s="349"/>
      <c r="D6" s="349"/>
      <c r="E6" s="349"/>
      <c r="F6" s="349"/>
      <c r="G6" s="349"/>
      <c r="H6" s="349"/>
      <c r="I6" s="349"/>
    </row>
    <row r="7" spans="3:9" x14ac:dyDescent="0.25">
      <c r="C7" s="121" t="s">
        <v>900</v>
      </c>
      <c r="D7" s="121"/>
      <c r="E7" s="121"/>
      <c r="F7" s="128"/>
      <c r="G7" s="129"/>
      <c r="H7" s="128"/>
      <c r="I7" s="106"/>
    </row>
    <row r="8" spans="3:9" x14ac:dyDescent="0.25">
      <c r="C8" s="130" t="s">
        <v>910</v>
      </c>
      <c r="D8" s="244"/>
      <c r="E8" s="244"/>
      <c r="F8" s="131"/>
      <c r="G8" s="132"/>
      <c r="H8" s="131"/>
      <c r="I8" s="106"/>
    </row>
    <row r="9" spans="3:9" x14ac:dyDescent="0.25">
      <c r="C9" s="125" t="s">
        <v>906</v>
      </c>
      <c r="D9" s="121"/>
      <c r="E9" s="121"/>
      <c r="F9" s="128"/>
      <c r="G9" s="129"/>
      <c r="H9" s="128"/>
      <c r="I9" s="106"/>
    </row>
    <row r="10" spans="3:9" x14ac:dyDescent="0.25">
      <c r="C10" s="348" t="s">
        <v>908</v>
      </c>
      <c r="D10" s="348"/>
      <c r="E10" s="348"/>
      <c r="F10" s="348"/>
      <c r="G10" s="348"/>
      <c r="H10" s="348"/>
      <c r="I10" s="106"/>
    </row>
    <row r="11" spans="3:9" x14ac:dyDescent="0.25">
      <c r="C11" s="348"/>
      <c r="D11" s="348"/>
      <c r="E11" s="348"/>
      <c r="F11" s="348"/>
      <c r="G11" s="348"/>
      <c r="H11" s="348"/>
      <c r="I11" s="106"/>
    </row>
    <row r="12" spans="3:9" x14ac:dyDescent="0.25">
      <c r="C12" s="125" t="s">
        <v>1108</v>
      </c>
      <c r="D12" s="244"/>
      <c r="E12" s="244"/>
      <c r="F12" s="131"/>
      <c r="G12" s="132"/>
      <c r="H12" s="131"/>
      <c r="I12" s="106"/>
    </row>
    <row r="13" spans="3:9" x14ac:dyDescent="0.25">
      <c r="C13" s="121" t="s">
        <v>909</v>
      </c>
      <c r="D13" s="243"/>
      <c r="E13" s="243"/>
      <c r="F13" s="133"/>
      <c r="G13" s="134"/>
      <c r="H13" s="133"/>
      <c r="I13" s="106"/>
    </row>
    <row r="14" spans="3:9" x14ac:dyDescent="0.25">
      <c r="C14" s="121" t="s">
        <v>911</v>
      </c>
      <c r="D14" s="243"/>
      <c r="E14" s="243"/>
      <c r="F14" s="133"/>
      <c r="G14" s="134"/>
      <c r="H14" s="133"/>
      <c r="I14" s="106"/>
    </row>
    <row r="15" spans="3:9" x14ac:dyDescent="0.25">
      <c r="C15" s="135" t="s">
        <v>1010</v>
      </c>
      <c r="D15" s="135"/>
      <c r="E15" s="135"/>
      <c r="F15" s="136"/>
      <c r="G15" s="137"/>
      <c r="H15" s="136"/>
      <c r="I15" s="106"/>
    </row>
    <row r="16" spans="3:9" x14ac:dyDescent="0.25">
      <c r="C16" s="135" t="s">
        <v>1006</v>
      </c>
      <c r="D16" s="135"/>
      <c r="E16" s="135"/>
      <c r="F16" s="136"/>
      <c r="G16" s="137"/>
      <c r="H16" s="136"/>
      <c r="I16" s="106"/>
    </row>
    <row r="17" spans="3:9" x14ac:dyDescent="0.25">
      <c r="C17" s="135" t="s">
        <v>912</v>
      </c>
      <c r="D17" s="106"/>
      <c r="E17" s="106"/>
      <c r="F17" s="104"/>
      <c r="G17" s="105"/>
      <c r="H17" s="104"/>
      <c r="I17" s="106"/>
    </row>
    <row r="18" spans="3:9" x14ac:dyDescent="0.25">
      <c r="C18" s="135" t="s">
        <v>943</v>
      </c>
      <c r="D18" s="106"/>
      <c r="E18" s="106"/>
      <c r="F18" s="104"/>
      <c r="G18" s="105"/>
      <c r="H18" s="104"/>
      <c r="I18" s="106"/>
    </row>
    <row r="19" spans="3:9" x14ac:dyDescent="0.25">
      <c r="C19" s="135" t="s">
        <v>1111</v>
      </c>
      <c r="D19" s="106"/>
      <c r="E19" s="106"/>
      <c r="F19" s="104"/>
      <c r="G19" s="105"/>
      <c r="H19" s="104"/>
      <c r="I19" s="106"/>
    </row>
    <row r="20" spans="3:9" x14ac:dyDescent="0.25">
      <c r="C20" s="135" t="s">
        <v>1013</v>
      </c>
      <c r="D20" s="103"/>
      <c r="E20" s="103"/>
      <c r="F20" s="133"/>
      <c r="G20" s="134"/>
      <c r="H20" s="133"/>
      <c r="I20" s="243"/>
    </row>
    <row r="21" spans="3:9" x14ac:dyDescent="0.25">
      <c r="C21" s="135" t="s">
        <v>1040</v>
      </c>
      <c r="D21" s="103"/>
      <c r="E21" s="103"/>
      <c r="F21" s="133"/>
      <c r="G21" s="134"/>
      <c r="H21" s="133"/>
      <c r="I21" s="243"/>
    </row>
    <row r="22" spans="3:9" x14ac:dyDescent="0.25">
      <c r="C22" s="135" t="s">
        <v>1039</v>
      </c>
      <c r="D22" s="103"/>
      <c r="E22" s="103"/>
      <c r="F22" s="133"/>
      <c r="G22" s="134"/>
      <c r="H22" s="133"/>
      <c r="I22" s="243"/>
    </row>
    <row r="23" spans="3:9" x14ac:dyDescent="0.25">
      <c r="C23" s="135" t="s">
        <v>1063</v>
      </c>
      <c r="D23" s="103"/>
      <c r="E23" s="103"/>
      <c r="F23" s="133"/>
      <c r="G23" s="134"/>
      <c r="H23" s="133"/>
      <c r="I23" s="243"/>
    </row>
    <row r="24" spans="3:9" x14ac:dyDescent="0.25">
      <c r="C24" s="135" t="s">
        <v>1070</v>
      </c>
      <c r="D24" s="103"/>
      <c r="E24" s="103"/>
      <c r="F24" s="133"/>
      <c r="G24" s="134"/>
      <c r="H24" s="133"/>
      <c r="I24" s="243"/>
    </row>
    <row r="25" spans="3:9" x14ac:dyDescent="0.25">
      <c r="C25" s="135" t="s">
        <v>1139</v>
      </c>
      <c r="D25" s="103"/>
      <c r="E25" s="103"/>
      <c r="F25" s="133"/>
      <c r="G25" s="134"/>
      <c r="H25" s="133"/>
      <c r="I25" s="243"/>
    </row>
    <row r="26" spans="3:9" x14ac:dyDescent="0.25">
      <c r="C26" s="135" t="s">
        <v>1329</v>
      </c>
      <c r="D26" s="103"/>
      <c r="E26" s="103"/>
      <c r="F26" s="133"/>
      <c r="G26" s="134"/>
      <c r="H26" s="133"/>
      <c r="I26" s="243"/>
    </row>
    <row r="27" spans="3:9" x14ac:dyDescent="0.25">
      <c r="C27" s="138" t="s">
        <v>1330</v>
      </c>
      <c r="D27" s="103"/>
      <c r="E27" s="103"/>
      <c r="F27" s="133"/>
      <c r="G27" s="134"/>
      <c r="H27" s="133"/>
      <c r="I27" s="243"/>
    </row>
    <row r="28" spans="3:9" x14ac:dyDescent="0.25">
      <c r="C28" s="138" t="s">
        <v>1112</v>
      </c>
      <c r="D28" s="103"/>
      <c r="E28" s="103"/>
      <c r="F28" s="133"/>
      <c r="G28" s="134"/>
      <c r="H28" s="133"/>
      <c r="I28" s="243"/>
    </row>
    <row r="29" spans="3:9" x14ac:dyDescent="0.25">
      <c r="C29" s="138" t="s">
        <v>1126</v>
      </c>
      <c r="D29" s="103"/>
      <c r="E29" s="103"/>
      <c r="F29" s="133"/>
      <c r="G29" s="134"/>
      <c r="H29" s="133"/>
      <c r="I29" s="243"/>
    </row>
    <row r="30" spans="3:9" x14ac:dyDescent="0.25">
      <c r="C30" s="138" t="s">
        <v>1133</v>
      </c>
      <c r="D30" s="103"/>
      <c r="E30" s="103"/>
      <c r="F30" s="133"/>
      <c r="G30" s="134"/>
      <c r="H30" s="133"/>
      <c r="I30" s="243"/>
    </row>
    <row r="31" spans="3:9" x14ac:dyDescent="0.25">
      <c r="C31" s="138" t="s">
        <v>1145</v>
      </c>
      <c r="D31" s="103"/>
      <c r="E31" s="103"/>
      <c r="F31" s="133"/>
      <c r="G31" s="134"/>
      <c r="H31" s="133"/>
      <c r="I31" s="243"/>
    </row>
    <row r="32" spans="3:9" x14ac:dyDescent="0.25">
      <c r="C32" s="138" t="s">
        <v>1146</v>
      </c>
      <c r="D32" s="103"/>
      <c r="E32" s="103"/>
      <c r="F32" s="133"/>
      <c r="G32" s="134"/>
      <c r="H32" s="133"/>
      <c r="I32" s="243"/>
    </row>
    <row r="33" spans="3:9" x14ac:dyDescent="0.25">
      <c r="C33" s="138" t="s">
        <v>1162</v>
      </c>
      <c r="D33" s="103"/>
      <c r="E33" s="103"/>
      <c r="F33" s="133"/>
      <c r="G33" s="134"/>
      <c r="H33" s="133"/>
      <c r="I33" s="243"/>
    </row>
    <row r="34" spans="3:9" x14ac:dyDescent="0.25">
      <c r="C34" s="138" t="s">
        <v>1331</v>
      </c>
      <c r="D34" s="103"/>
      <c r="E34" s="103"/>
      <c r="F34" s="133"/>
      <c r="G34" s="134"/>
      <c r="H34" s="133"/>
      <c r="I34" s="243"/>
    </row>
    <row r="35" spans="3:9" x14ac:dyDescent="0.25">
      <c r="C35" s="138" t="s">
        <v>1169</v>
      </c>
      <c r="D35" s="103"/>
      <c r="E35" s="103"/>
      <c r="F35" s="133"/>
      <c r="G35" s="134"/>
      <c r="H35" s="133"/>
      <c r="I35" s="243"/>
    </row>
    <row r="36" spans="3:9" x14ac:dyDescent="0.25">
      <c r="C36" s="138" t="s">
        <v>1180</v>
      </c>
      <c r="D36" s="103"/>
      <c r="E36" s="103"/>
      <c r="F36" s="133"/>
      <c r="G36" s="134"/>
      <c r="H36" s="133"/>
      <c r="I36" s="243"/>
    </row>
    <row r="37" spans="3:9" x14ac:dyDescent="0.25">
      <c r="C37" s="138" t="s">
        <v>1332</v>
      </c>
      <c r="D37" s="103"/>
      <c r="E37" s="103"/>
      <c r="F37" s="133"/>
      <c r="G37" s="134"/>
      <c r="H37" s="133"/>
      <c r="I37" s="243"/>
    </row>
    <row r="38" spans="3:9" x14ac:dyDescent="0.25">
      <c r="C38" s="138" t="s">
        <v>1333</v>
      </c>
      <c r="D38" s="103"/>
      <c r="E38" s="103"/>
      <c r="F38" s="133"/>
      <c r="G38" s="134"/>
      <c r="H38" s="133"/>
      <c r="I38" s="243"/>
    </row>
    <row r="39" spans="3:9" x14ac:dyDescent="0.25">
      <c r="C39" s="138" t="s">
        <v>1195</v>
      </c>
      <c r="D39" s="103"/>
      <c r="E39" s="103"/>
      <c r="F39" s="133"/>
      <c r="G39" s="134"/>
      <c r="H39" s="133"/>
      <c r="I39" s="243"/>
    </row>
    <row r="40" spans="3:9" x14ac:dyDescent="0.25">
      <c r="C40" s="138" t="s">
        <v>1334</v>
      </c>
      <c r="D40" s="103"/>
      <c r="E40" s="103"/>
      <c r="F40" s="133"/>
      <c r="G40" s="134"/>
      <c r="H40" s="133"/>
      <c r="I40" s="243"/>
    </row>
    <row r="41" spans="3:9" x14ac:dyDescent="0.25">
      <c r="C41" s="138" t="s">
        <v>1247</v>
      </c>
      <c r="D41" s="103"/>
      <c r="E41" s="103"/>
      <c r="F41" s="133"/>
      <c r="G41" s="134"/>
      <c r="H41" s="133"/>
      <c r="I41" s="243"/>
    </row>
    <row r="42" spans="3:9" x14ac:dyDescent="0.25">
      <c r="C42" s="138" t="s">
        <v>1261</v>
      </c>
      <c r="D42" s="103"/>
      <c r="E42" s="103"/>
      <c r="F42" s="133"/>
      <c r="G42" s="134"/>
      <c r="H42" s="133"/>
      <c r="I42" s="243"/>
    </row>
    <row r="43" spans="3:9" x14ac:dyDescent="0.25">
      <c r="C43" s="138" t="s">
        <v>1265</v>
      </c>
      <c r="D43" s="103"/>
      <c r="E43" s="103"/>
      <c r="F43" s="133"/>
      <c r="G43" s="134"/>
      <c r="H43" s="133"/>
      <c r="I43" s="243"/>
    </row>
    <row r="44" spans="3:9" x14ac:dyDescent="0.25">
      <c r="C44" s="138" t="s">
        <v>1292</v>
      </c>
      <c r="D44" s="103"/>
      <c r="E44" s="103"/>
      <c r="F44" s="133"/>
      <c r="G44" s="134"/>
      <c r="H44" s="133"/>
      <c r="I44" s="243"/>
    </row>
    <row r="45" spans="3:9" x14ac:dyDescent="0.25">
      <c r="C45" s="138" t="s">
        <v>1288</v>
      </c>
      <c r="D45" s="103"/>
      <c r="E45" s="103"/>
      <c r="F45" s="133"/>
      <c r="G45" s="134"/>
      <c r="H45" s="133"/>
      <c r="I45" s="243"/>
    </row>
    <row r="46" spans="3:9" x14ac:dyDescent="0.25">
      <c r="C46" s="138" t="s">
        <v>1289</v>
      </c>
      <c r="D46" s="103"/>
      <c r="E46" s="103"/>
      <c r="F46" s="133"/>
      <c r="G46" s="134"/>
      <c r="H46" s="133"/>
      <c r="I46" s="243"/>
    </row>
    <row r="47" spans="3:9" x14ac:dyDescent="0.25">
      <c r="C47" s="350" t="s">
        <v>1322</v>
      </c>
      <c r="D47" s="350"/>
      <c r="E47" s="350"/>
      <c r="F47" s="350"/>
      <c r="G47" s="350"/>
      <c r="H47" s="350"/>
      <c r="I47" s="350"/>
    </row>
    <row r="48" spans="3:9" x14ac:dyDescent="0.25">
      <c r="C48" s="350"/>
      <c r="D48" s="350"/>
      <c r="E48" s="350"/>
      <c r="F48" s="350"/>
      <c r="G48" s="350"/>
      <c r="H48" s="350"/>
      <c r="I48" s="350"/>
    </row>
    <row r="49" spans="3:9" x14ac:dyDescent="0.25">
      <c r="C49" s="138" t="s">
        <v>1307</v>
      </c>
      <c r="D49" s="103"/>
      <c r="E49" s="103"/>
      <c r="F49" s="133"/>
      <c r="G49" s="134"/>
      <c r="H49" s="133"/>
      <c r="I49" s="243"/>
    </row>
    <row r="50" spans="3:9" x14ac:dyDescent="0.25">
      <c r="C50" s="138" t="s">
        <v>1310</v>
      </c>
      <c r="D50" s="103"/>
      <c r="E50" s="103"/>
      <c r="F50" s="133"/>
      <c r="G50" s="134"/>
      <c r="H50" s="133"/>
      <c r="I50" s="243"/>
    </row>
    <row r="51" spans="3:9" x14ac:dyDescent="0.25">
      <c r="C51" s="138" t="s">
        <v>1313</v>
      </c>
      <c r="D51" s="103"/>
      <c r="E51" s="103"/>
      <c r="F51" s="133"/>
      <c r="G51" s="134"/>
      <c r="H51" s="133"/>
      <c r="I51" s="243"/>
    </row>
    <row r="52" spans="3:9" x14ac:dyDescent="0.25">
      <c r="C52" s="138" t="s">
        <v>1314</v>
      </c>
      <c r="D52" s="103"/>
      <c r="E52" s="103"/>
      <c r="F52" s="133"/>
      <c r="G52" s="134"/>
      <c r="H52" s="133"/>
      <c r="I52" s="243"/>
    </row>
    <row r="53" spans="3:9" x14ac:dyDescent="0.25">
      <c r="C53" s="138" t="s">
        <v>1317</v>
      </c>
      <c r="D53" s="103"/>
      <c r="E53" s="103"/>
      <c r="F53" s="133"/>
      <c r="G53" s="134"/>
      <c r="H53" s="133"/>
      <c r="I53" s="243"/>
    </row>
    <row r="54" spans="3:9" x14ac:dyDescent="0.25">
      <c r="C54" s="138" t="s">
        <v>1341</v>
      </c>
      <c r="D54" s="103"/>
      <c r="E54" s="103"/>
      <c r="F54" s="133"/>
      <c r="G54" s="134"/>
      <c r="H54" s="133"/>
      <c r="I54" s="243"/>
    </row>
    <row r="55" spans="3:9" x14ac:dyDescent="0.25">
      <c r="C55" s="351" t="s">
        <v>1379</v>
      </c>
      <c r="D55" s="351"/>
      <c r="E55" s="351"/>
      <c r="F55" s="351"/>
      <c r="G55" s="351"/>
      <c r="H55" s="351"/>
      <c r="I55" s="243"/>
    </row>
    <row r="56" spans="3:9" x14ac:dyDescent="0.25">
      <c r="C56" s="352"/>
      <c r="D56" s="352"/>
      <c r="E56" s="352"/>
      <c r="F56" s="352"/>
      <c r="G56" s="352"/>
      <c r="H56" s="352"/>
      <c r="I56" s="235"/>
    </row>
    <row r="57" spans="3:9" x14ac:dyDescent="0.25">
      <c r="C57" s="139"/>
      <c r="D57" s="139"/>
      <c r="E57" s="139"/>
      <c r="F57" s="140"/>
      <c r="G57" s="139"/>
      <c r="H57" s="140"/>
      <c r="I57" s="139"/>
    </row>
    <row r="58" spans="3:9" x14ac:dyDescent="0.25">
      <c r="C58" s="141"/>
      <c r="D58" s="142"/>
      <c r="E58" s="142"/>
      <c r="F58" s="64"/>
      <c r="G58" s="143"/>
      <c r="H58" s="64"/>
      <c r="I58" s="144"/>
    </row>
    <row r="59" spans="3:9" x14ac:dyDescent="0.25">
      <c r="D59" s="145"/>
      <c r="E59" s="145"/>
      <c r="F59" s="146"/>
      <c r="G59" s="147"/>
      <c r="H59" s="146"/>
      <c r="I59" s="65"/>
    </row>
    <row r="60" spans="3:9" x14ac:dyDescent="0.25">
      <c r="D60" s="145"/>
      <c r="E60" s="145"/>
      <c r="F60" s="146"/>
      <c r="G60" s="147"/>
      <c r="H60" s="146"/>
      <c r="I60" s="65"/>
    </row>
    <row r="61" spans="3:9" x14ac:dyDescent="0.25">
      <c r="D61" s="145"/>
      <c r="E61" s="145"/>
      <c r="F61" s="146"/>
      <c r="G61" s="147"/>
      <c r="H61" s="146"/>
      <c r="I61" s="65"/>
    </row>
    <row r="62" spans="3:9" x14ac:dyDescent="0.25">
      <c r="D62" s="145"/>
      <c r="E62" s="145"/>
      <c r="F62" s="146"/>
      <c r="G62" s="147"/>
      <c r="H62" s="146"/>
      <c r="I62" s="65"/>
    </row>
    <row r="63" spans="3:9" x14ac:dyDescent="0.25">
      <c r="D63" s="145"/>
      <c r="E63" s="145"/>
      <c r="F63" s="146"/>
      <c r="G63" s="147"/>
      <c r="H63" s="146"/>
      <c r="I63" s="65"/>
    </row>
    <row r="64" spans="3:9" x14ac:dyDescent="0.25">
      <c r="D64" s="145"/>
      <c r="E64" s="145"/>
      <c r="F64" s="146"/>
      <c r="G64" s="147"/>
      <c r="H64" s="146"/>
      <c r="I64" s="65"/>
    </row>
    <row r="65" spans="4:9" x14ac:dyDescent="0.25">
      <c r="D65" s="145"/>
      <c r="E65" s="145"/>
      <c r="F65" s="146"/>
      <c r="G65" s="147"/>
      <c r="H65" s="146"/>
      <c r="I65" s="65"/>
    </row>
    <row r="66" spans="4:9" x14ac:dyDescent="0.25">
      <c r="E66" s="65"/>
      <c r="F66" s="146"/>
      <c r="G66" s="147"/>
      <c r="H66" s="146"/>
      <c r="I66" s="65"/>
    </row>
    <row r="67" spans="4:9" x14ac:dyDescent="0.25">
      <c r="E67" s="65"/>
      <c r="F67" s="146"/>
      <c r="G67" s="147"/>
      <c r="H67" s="146"/>
      <c r="I67" s="65"/>
    </row>
    <row r="68" spans="4:9" x14ac:dyDescent="0.25">
      <c r="D68" s="145"/>
      <c r="E68" s="145"/>
      <c r="F68" s="146"/>
      <c r="G68" s="147"/>
      <c r="H68" s="146"/>
      <c r="I68" s="65"/>
    </row>
    <row r="69" spans="4:9" x14ac:dyDescent="0.25">
      <c r="D69" s="145"/>
      <c r="E69" s="145"/>
      <c r="F69" s="146"/>
      <c r="G69" s="147"/>
      <c r="H69" s="146"/>
      <c r="I69" s="65"/>
    </row>
  </sheetData>
  <mergeCells count="5">
    <mergeCell ref="C10:H11"/>
    <mergeCell ref="C5:I6"/>
    <mergeCell ref="C47:I48"/>
    <mergeCell ref="C55:H55"/>
    <mergeCell ref="C56:H56"/>
  </mergeCells>
  <pageMargins left="0.17" right="0.17" top="0.48" bottom="8.3333333333333301E-2" header="0.17" footer="0.3"/>
  <pageSetup paperSize="5" scale="6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J45"/>
  <sheetViews>
    <sheetView view="pageBreakPreview" zoomScale="85" zoomScaleNormal="100" zoomScaleSheetLayoutView="85" zoomScalePageLayoutView="85" workbookViewId="0">
      <selection activeCell="B6" sqref="B6"/>
    </sheetView>
  </sheetViews>
  <sheetFormatPr defaultRowHeight="15" x14ac:dyDescent="0.25"/>
  <cols>
    <col min="1" max="2" width="9.140625" style="65"/>
    <col min="3" max="3" width="14" style="111" customWidth="1"/>
    <col min="4" max="4" width="60" style="65" customWidth="1"/>
    <col min="5" max="5" width="23.85546875" style="107" bestFit="1" customWidth="1"/>
    <col min="6" max="6" width="27.5703125" style="108" customWidth="1"/>
    <col min="7" max="7" width="27.5703125" style="109" customWidth="1"/>
    <col min="8" max="8" width="24.140625" style="108" customWidth="1"/>
    <col min="9" max="9" width="22.28515625" style="110" bestFit="1" customWidth="1"/>
    <col min="10" max="239" width="9.140625" style="65"/>
    <col min="240" max="240" width="14" style="65" customWidth="1"/>
    <col min="241" max="241" width="60" style="65" customWidth="1"/>
    <col min="242" max="242" width="23.85546875" style="65" bestFit="1" customWidth="1"/>
    <col min="243" max="244" width="31.5703125" style="65" customWidth="1"/>
    <col min="245" max="245" width="27.140625" style="65" customWidth="1"/>
    <col min="246" max="246" width="21.28515625" style="65" bestFit="1" customWidth="1"/>
    <col min="247" max="247" width="9" style="65" customWidth="1"/>
    <col min="248" max="495" width="9.140625" style="65"/>
    <col min="496" max="496" width="14" style="65" customWidth="1"/>
    <col min="497" max="497" width="60" style="65" customWidth="1"/>
    <col min="498" max="498" width="23.85546875" style="65" bestFit="1" customWidth="1"/>
    <col min="499" max="500" width="31.5703125" style="65" customWidth="1"/>
    <col min="501" max="501" width="27.140625" style="65" customWidth="1"/>
    <col min="502" max="502" width="21.28515625" style="65" bestFit="1" customWidth="1"/>
    <col min="503" max="503" width="9" style="65" customWidth="1"/>
    <col min="504" max="751" width="9.140625" style="65"/>
    <col min="752" max="752" width="14" style="65" customWidth="1"/>
    <col min="753" max="753" width="60" style="65" customWidth="1"/>
    <col min="754" max="754" width="23.85546875" style="65" bestFit="1" customWidth="1"/>
    <col min="755" max="756" width="31.5703125" style="65" customWidth="1"/>
    <col min="757" max="757" width="27.140625" style="65" customWidth="1"/>
    <col min="758" max="758" width="21.28515625" style="65" bestFit="1" customWidth="1"/>
    <col min="759" max="759" width="9" style="65" customWidth="1"/>
    <col min="760" max="1007" width="9.140625" style="65"/>
    <col min="1008" max="1008" width="14" style="65" customWidth="1"/>
    <col min="1009" max="1009" width="60" style="65" customWidth="1"/>
    <col min="1010" max="1010" width="23.85546875" style="65" bestFit="1" customWidth="1"/>
    <col min="1011" max="1012" width="31.5703125" style="65" customWidth="1"/>
    <col min="1013" max="1013" width="27.140625" style="65" customWidth="1"/>
    <col min="1014" max="1014" width="21.28515625" style="65" bestFit="1" customWidth="1"/>
    <col min="1015" max="1015" width="9" style="65" customWidth="1"/>
    <col min="1016" max="1263" width="9.140625" style="65"/>
    <col min="1264" max="1264" width="14" style="65" customWidth="1"/>
    <col min="1265" max="1265" width="60" style="65" customWidth="1"/>
    <col min="1266" max="1266" width="23.85546875" style="65" bestFit="1" customWidth="1"/>
    <col min="1267" max="1268" width="31.5703125" style="65" customWidth="1"/>
    <col min="1269" max="1269" width="27.140625" style="65" customWidth="1"/>
    <col min="1270" max="1270" width="21.28515625" style="65" bestFit="1" customWidth="1"/>
    <col min="1271" max="1271" width="9" style="65" customWidth="1"/>
    <col min="1272" max="1519" width="9.140625" style="65"/>
    <col min="1520" max="1520" width="14" style="65" customWidth="1"/>
    <col min="1521" max="1521" width="60" style="65" customWidth="1"/>
    <col min="1522" max="1522" width="23.85546875" style="65" bestFit="1" customWidth="1"/>
    <col min="1523" max="1524" width="31.5703125" style="65" customWidth="1"/>
    <col min="1525" max="1525" width="27.140625" style="65" customWidth="1"/>
    <col min="1526" max="1526" width="21.28515625" style="65" bestFit="1" customWidth="1"/>
    <col min="1527" max="1527" width="9" style="65" customWidth="1"/>
    <col min="1528" max="1775" width="9.140625" style="65"/>
    <col min="1776" max="1776" width="14" style="65" customWidth="1"/>
    <col min="1777" max="1777" width="60" style="65" customWidth="1"/>
    <col min="1778" max="1778" width="23.85546875" style="65" bestFit="1" customWidth="1"/>
    <col min="1779" max="1780" width="31.5703125" style="65" customWidth="1"/>
    <col min="1781" max="1781" width="27.140625" style="65" customWidth="1"/>
    <col min="1782" max="1782" width="21.28515625" style="65" bestFit="1" customWidth="1"/>
    <col min="1783" max="1783" width="9" style="65" customWidth="1"/>
    <col min="1784" max="2031" width="9.140625" style="65"/>
    <col min="2032" max="2032" width="14" style="65" customWidth="1"/>
    <col min="2033" max="2033" width="60" style="65" customWidth="1"/>
    <col min="2034" max="2034" width="23.85546875" style="65" bestFit="1" customWidth="1"/>
    <col min="2035" max="2036" width="31.5703125" style="65" customWidth="1"/>
    <col min="2037" max="2037" width="27.140625" style="65" customWidth="1"/>
    <col min="2038" max="2038" width="21.28515625" style="65" bestFit="1" customWidth="1"/>
    <col min="2039" max="2039" width="9" style="65" customWidth="1"/>
    <col min="2040" max="2287" width="9.140625" style="65"/>
    <col min="2288" max="2288" width="14" style="65" customWidth="1"/>
    <col min="2289" max="2289" width="60" style="65" customWidth="1"/>
    <col min="2290" max="2290" width="23.85546875" style="65" bestFit="1" customWidth="1"/>
    <col min="2291" max="2292" width="31.5703125" style="65" customWidth="1"/>
    <col min="2293" max="2293" width="27.140625" style="65" customWidth="1"/>
    <col min="2294" max="2294" width="21.28515625" style="65" bestFit="1" customWidth="1"/>
    <col min="2295" max="2295" width="9" style="65" customWidth="1"/>
    <col min="2296" max="2543" width="9.140625" style="65"/>
    <col min="2544" max="2544" width="14" style="65" customWidth="1"/>
    <col min="2545" max="2545" width="60" style="65" customWidth="1"/>
    <col min="2546" max="2546" width="23.85546875" style="65" bestFit="1" customWidth="1"/>
    <col min="2547" max="2548" width="31.5703125" style="65" customWidth="1"/>
    <col min="2549" max="2549" width="27.140625" style="65" customWidth="1"/>
    <col min="2550" max="2550" width="21.28515625" style="65" bestFit="1" customWidth="1"/>
    <col min="2551" max="2551" width="9" style="65" customWidth="1"/>
    <col min="2552" max="2799" width="9.140625" style="65"/>
    <col min="2800" max="2800" width="14" style="65" customWidth="1"/>
    <col min="2801" max="2801" width="60" style="65" customWidth="1"/>
    <col min="2802" max="2802" width="23.85546875" style="65" bestFit="1" customWidth="1"/>
    <col min="2803" max="2804" width="31.5703125" style="65" customWidth="1"/>
    <col min="2805" max="2805" width="27.140625" style="65" customWidth="1"/>
    <col min="2806" max="2806" width="21.28515625" style="65" bestFit="1" customWidth="1"/>
    <col min="2807" max="2807" width="9" style="65" customWidth="1"/>
    <col min="2808" max="3055" width="9.140625" style="65"/>
    <col min="3056" max="3056" width="14" style="65" customWidth="1"/>
    <col min="3057" max="3057" width="60" style="65" customWidth="1"/>
    <col min="3058" max="3058" width="23.85546875" style="65" bestFit="1" customWidth="1"/>
    <col min="3059" max="3060" width="31.5703125" style="65" customWidth="1"/>
    <col min="3061" max="3061" width="27.140625" style="65" customWidth="1"/>
    <col min="3062" max="3062" width="21.28515625" style="65" bestFit="1" customWidth="1"/>
    <col min="3063" max="3063" width="9" style="65" customWidth="1"/>
    <col min="3064" max="3311" width="9.140625" style="65"/>
    <col min="3312" max="3312" width="14" style="65" customWidth="1"/>
    <col min="3313" max="3313" width="60" style="65" customWidth="1"/>
    <col min="3314" max="3314" width="23.85546875" style="65" bestFit="1" customWidth="1"/>
    <col min="3315" max="3316" width="31.5703125" style="65" customWidth="1"/>
    <col min="3317" max="3317" width="27.140625" style="65" customWidth="1"/>
    <col min="3318" max="3318" width="21.28515625" style="65" bestFit="1" customWidth="1"/>
    <col min="3319" max="3319" width="9" style="65" customWidth="1"/>
    <col min="3320" max="3567" width="9.140625" style="65"/>
    <col min="3568" max="3568" width="14" style="65" customWidth="1"/>
    <col min="3569" max="3569" width="60" style="65" customWidth="1"/>
    <col min="3570" max="3570" width="23.85546875" style="65" bestFit="1" customWidth="1"/>
    <col min="3571" max="3572" width="31.5703125" style="65" customWidth="1"/>
    <col min="3573" max="3573" width="27.140625" style="65" customWidth="1"/>
    <col min="3574" max="3574" width="21.28515625" style="65" bestFit="1" customWidth="1"/>
    <col min="3575" max="3575" width="9" style="65" customWidth="1"/>
    <col min="3576" max="3823" width="9.140625" style="65"/>
    <col min="3824" max="3824" width="14" style="65" customWidth="1"/>
    <col min="3825" max="3825" width="60" style="65" customWidth="1"/>
    <col min="3826" max="3826" width="23.85546875" style="65" bestFit="1" customWidth="1"/>
    <col min="3827" max="3828" width="31.5703125" style="65" customWidth="1"/>
    <col min="3829" max="3829" width="27.140625" style="65" customWidth="1"/>
    <col min="3830" max="3830" width="21.28515625" style="65" bestFit="1" customWidth="1"/>
    <col min="3831" max="3831" width="9" style="65" customWidth="1"/>
    <col min="3832" max="4079" width="9.140625" style="65"/>
    <col min="4080" max="4080" width="14" style="65" customWidth="1"/>
    <col min="4081" max="4081" width="60" style="65" customWidth="1"/>
    <col min="4082" max="4082" width="23.85546875" style="65" bestFit="1" customWidth="1"/>
    <col min="4083" max="4084" width="31.5703125" style="65" customWidth="1"/>
    <col min="4085" max="4085" width="27.140625" style="65" customWidth="1"/>
    <col min="4086" max="4086" width="21.28515625" style="65" bestFit="1" customWidth="1"/>
    <col min="4087" max="4087" width="9" style="65" customWidth="1"/>
    <col min="4088" max="4335" width="9.140625" style="65"/>
    <col min="4336" max="4336" width="14" style="65" customWidth="1"/>
    <col min="4337" max="4337" width="60" style="65" customWidth="1"/>
    <col min="4338" max="4338" width="23.85546875" style="65" bestFit="1" customWidth="1"/>
    <col min="4339" max="4340" width="31.5703125" style="65" customWidth="1"/>
    <col min="4341" max="4341" width="27.140625" style="65" customWidth="1"/>
    <col min="4342" max="4342" width="21.28515625" style="65" bestFit="1" customWidth="1"/>
    <col min="4343" max="4343" width="9" style="65" customWidth="1"/>
    <col min="4344" max="4591" width="9.140625" style="65"/>
    <col min="4592" max="4592" width="14" style="65" customWidth="1"/>
    <col min="4593" max="4593" width="60" style="65" customWidth="1"/>
    <col min="4594" max="4594" width="23.85546875" style="65" bestFit="1" customWidth="1"/>
    <col min="4595" max="4596" width="31.5703125" style="65" customWidth="1"/>
    <col min="4597" max="4597" width="27.140625" style="65" customWidth="1"/>
    <col min="4598" max="4598" width="21.28515625" style="65" bestFit="1" customWidth="1"/>
    <col min="4599" max="4599" width="9" style="65" customWidth="1"/>
    <col min="4600" max="4847" width="9.140625" style="65"/>
    <col min="4848" max="4848" width="14" style="65" customWidth="1"/>
    <col min="4849" max="4849" width="60" style="65" customWidth="1"/>
    <col min="4850" max="4850" width="23.85546875" style="65" bestFit="1" customWidth="1"/>
    <col min="4851" max="4852" width="31.5703125" style="65" customWidth="1"/>
    <col min="4853" max="4853" width="27.140625" style="65" customWidth="1"/>
    <col min="4854" max="4854" width="21.28515625" style="65" bestFit="1" customWidth="1"/>
    <col min="4855" max="4855" width="9" style="65" customWidth="1"/>
    <col min="4856" max="5103" width="9.140625" style="65"/>
    <col min="5104" max="5104" width="14" style="65" customWidth="1"/>
    <col min="5105" max="5105" width="60" style="65" customWidth="1"/>
    <col min="5106" max="5106" width="23.85546875" style="65" bestFit="1" customWidth="1"/>
    <col min="5107" max="5108" width="31.5703125" style="65" customWidth="1"/>
    <col min="5109" max="5109" width="27.140625" style="65" customWidth="1"/>
    <col min="5110" max="5110" width="21.28515625" style="65" bestFit="1" customWidth="1"/>
    <col min="5111" max="5111" width="9" style="65" customWidth="1"/>
    <col min="5112" max="5359" width="9.140625" style="65"/>
    <col min="5360" max="5360" width="14" style="65" customWidth="1"/>
    <col min="5361" max="5361" width="60" style="65" customWidth="1"/>
    <col min="5362" max="5362" width="23.85546875" style="65" bestFit="1" customWidth="1"/>
    <col min="5363" max="5364" width="31.5703125" style="65" customWidth="1"/>
    <col min="5365" max="5365" width="27.140625" style="65" customWidth="1"/>
    <col min="5366" max="5366" width="21.28515625" style="65" bestFit="1" customWidth="1"/>
    <col min="5367" max="5367" width="9" style="65" customWidth="1"/>
    <col min="5368" max="5615" width="9.140625" style="65"/>
    <col min="5616" max="5616" width="14" style="65" customWidth="1"/>
    <col min="5617" max="5617" width="60" style="65" customWidth="1"/>
    <col min="5618" max="5618" width="23.85546875" style="65" bestFit="1" customWidth="1"/>
    <col min="5619" max="5620" width="31.5703125" style="65" customWidth="1"/>
    <col min="5621" max="5621" width="27.140625" style="65" customWidth="1"/>
    <col min="5622" max="5622" width="21.28515625" style="65" bestFit="1" customWidth="1"/>
    <col min="5623" max="5623" width="9" style="65" customWidth="1"/>
    <col min="5624" max="5871" width="9.140625" style="65"/>
    <col min="5872" max="5872" width="14" style="65" customWidth="1"/>
    <col min="5873" max="5873" width="60" style="65" customWidth="1"/>
    <col min="5874" max="5874" width="23.85546875" style="65" bestFit="1" customWidth="1"/>
    <col min="5875" max="5876" width="31.5703125" style="65" customWidth="1"/>
    <col min="5877" max="5877" width="27.140625" style="65" customWidth="1"/>
    <col min="5878" max="5878" width="21.28515625" style="65" bestFit="1" customWidth="1"/>
    <col min="5879" max="5879" width="9" style="65" customWidth="1"/>
    <col min="5880" max="6127" width="9.140625" style="65"/>
    <col min="6128" max="6128" width="14" style="65" customWidth="1"/>
    <col min="6129" max="6129" width="60" style="65" customWidth="1"/>
    <col min="6130" max="6130" width="23.85546875" style="65" bestFit="1" customWidth="1"/>
    <col min="6131" max="6132" width="31.5703125" style="65" customWidth="1"/>
    <col min="6133" max="6133" width="27.140625" style="65" customWidth="1"/>
    <col min="6134" max="6134" width="21.28515625" style="65" bestFit="1" customWidth="1"/>
    <col min="6135" max="6135" width="9" style="65" customWidth="1"/>
    <col min="6136" max="6383" width="9.140625" style="65"/>
    <col min="6384" max="6384" width="14" style="65" customWidth="1"/>
    <col min="6385" max="6385" width="60" style="65" customWidth="1"/>
    <col min="6386" max="6386" width="23.85546875" style="65" bestFit="1" customWidth="1"/>
    <col min="6387" max="6388" width="31.5703125" style="65" customWidth="1"/>
    <col min="6389" max="6389" width="27.140625" style="65" customWidth="1"/>
    <col min="6390" max="6390" width="21.28515625" style="65" bestFit="1" customWidth="1"/>
    <col min="6391" max="6391" width="9" style="65" customWidth="1"/>
    <col min="6392" max="6639" width="9.140625" style="65"/>
    <col min="6640" max="6640" width="14" style="65" customWidth="1"/>
    <col min="6641" max="6641" width="60" style="65" customWidth="1"/>
    <col min="6642" max="6642" width="23.85546875" style="65" bestFit="1" customWidth="1"/>
    <col min="6643" max="6644" width="31.5703125" style="65" customWidth="1"/>
    <col min="6645" max="6645" width="27.140625" style="65" customWidth="1"/>
    <col min="6646" max="6646" width="21.28515625" style="65" bestFit="1" customWidth="1"/>
    <col min="6647" max="6647" width="9" style="65" customWidth="1"/>
    <col min="6648" max="6895" width="9.140625" style="65"/>
    <col min="6896" max="6896" width="14" style="65" customWidth="1"/>
    <col min="6897" max="6897" width="60" style="65" customWidth="1"/>
    <col min="6898" max="6898" width="23.85546875" style="65" bestFit="1" customWidth="1"/>
    <col min="6899" max="6900" width="31.5703125" style="65" customWidth="1"/>
    <col min="6901" max="6901" width="27.140625" style="65" customWidth="1"/>
    <col min="6902" max="6902" width="21.28515625" style="65" bestFit="1" customWidth="1"/>
    <col min="6903" max="6903" width="9" style="65" customWidth="1"/>
    <col min="6904" max="7151" width="9.140625" style="65"/>
    <col min="7152" max="7152" width="14" style="65" customWidth="1"/>
    <col min="7153" max="7153" width="60" style="65" customWidth="1"/>
    <col min="7154" max="7154" width="23.85546875" style="65" bestFit="1" customWidth="1"/>
    <col min="7155" max="7156" width="31.5703125" style="65" customWidth="1"/>
    <col min="7157" max="7157" width="27.140625" style="65" customWidth="1"/>
    <col min="7158" max="7158" width="21.28515625" style="65" bestFit="1" customWidth="1"/>
    <col min="7159" max="7159" width="9" style="65" customWidth="1"/>
    <col min="7160" max="7407" width="9.140625" style="65"/>
    <col min="7408" max="7408" width="14" style="65" customWidth="1"/>
    <col min="7409" max="7409" width="60" style="65" customWidth="1"/>
    <col min="7410" max="7410" width="23.85546875" style="65" bestFit="1" customWidth="1"/>
    <col min="7411" max="7412" width="31.5703125" style="65" customWidth="1"/>
    <col min="7413" max="7413" width="27.140625" style="65" customWidth="1"/>
    <col min="7414" max="7414" width="21.28515625" style="65" bestFit="1" customWidth="1"/>
    <col min="7415" max="7415" width="9" style="65" customWidth="1"/>
    <col min="7416" max="7663" width="9.140625" style="65"/>
    <col min="7664" max="7664" width="14" style="65" customWidth="1"/>
    <col min="7665" max="7665" width="60" style="65" customWidth="1"/>
    <col min="7666" max="7666" width="23.85546875" style="65" bestFit="1" customWidth="1"/>
    <col min="7667" max="7668" width="31.5703125" style="65" customWidth="1"/>
    <col min="7669" max="7669" width="27.140625" style="65" customWidth="1"/>
    <col min="7670" max="7670" width="21.28515625" style="65" bestFit="1" customWidth="1"/>
    <col min="7671" max="7671" width="9" style="65" customWidth="1"/>
    <col min="7672" max="7919" width="9.140625" style="65"/>
    <col min="7920" max="7920" width="14" style="65" customWidth="1"/>
    <col min="7921" max="7921" width="60" style="65" customWidth="1"/>
    <col min="7922" max="7922" width="23.85546875" style="65" bestFit="1" customWidth="1"/>
    <col min="7923" max="7924" width="31.5703125" style="65" customWidth="1"/>
    <col min="7925" max="7925" width="27.140625" style="65" customWidth="1"/>
    <col min="7926" max="7926" width="21.28515625" style="65" bestFit="1" customWidth="1"/>
    <col min="7927" max="7927" width="9" style="65" customWidth="1"/>
    <col min="7928" max="8175" width="9.140625" style="65"/>
    <col min="8176" max="8176" width="14" style="65" customWidth="1"/>
    <col min="8177" max="8177" width="60" style="65" customWidth="1"/>
    <col min="8178" max="8178" width="23.85546875" style="65" bestFit="1" customWidth="1"/>
    <col min="8179" max="8180" width="31.5703125" style="65" customWidth="1"/>
    <col min="8181" max="8181" width="27.140625" style="65" customWidth="1"/>
    <col min="8182" max="8182" width="21.28515625" style="65" bestFit="1" customWidth="1"/>
    <col min="8183" max="8183" width="9" style="65" customWidth="1"/>
    <col min="8184" max="8431" width="9.140625" style="65"/>
    <col min="8432" max="8432" width="14" style="65" customWidth="1"/>
    <col min="8433" max="8433" width="60" style="65" customWidth="1"/>
    <col min="8434" max="8434" width="23.85546875" style="65" bestFit="1" customWidth="1"/>
    <col min="8435" max="8436" width="31.5703125" style="65" customWidth="1"/>
    <col min="8437" max="8437" width="27.140625" style="65" customWidth="1"/>
    <col min="8438" max="8438" width="21.28515625" style="65" bestFit="1" customWidth="1"/>
    <col min="8439" max="8439" width="9" style="65" customWidth="1"/>
    <col min="8440" max="8687" width="9.140625" style="65"/>
    <col min="8688" max="8688" width="14" style="65" customWidth="1"/>
    <col min="8689" max="8689" width="60" style="65" customWidth="1"/>
    <col min="8690" max="8690" width="23.85546875" style="65" bestFit="1" customWidth="1"/>
    <col min="8691" max="8692" width="31.5703125" style="65" customWidth="1"/>
    <col min="8693" max="8693" width="27.140625" style="65" customWidth="1"/>
    <col min="8694" max="8694" width="21.28515625" style="65" bestFit="1" customWidth="1"/>
    <col min="8695" max="8695" width="9" style="65" customWidth="1"/>
    <col min="8696" max="8943" width="9.140625" style="65"/>
    <col min="8944" max="8944" width="14" style="65" customWidth="1"/>
    <col min="8945" max="8945" width="60" style="65" customWidth="1"/>
    <col min="8946" max="8946" width="23.85546875" style="65" bestFit="1" customWidth="1"/>
    <col min="8947" max="8948" width="31.5703125" style="65" customWidth="1"/>
    <col min="8949" max="8949" width="27.140625" style="65" customWidth="1"/>
    <col min="8950" max="8950" width="21.28515625" style="65" bestFit="1" customWidth="1"/>
    <col min="8951" max="8951" width="9" style="65" customWidth="1"/>
    <col min="8952" max="9199" width="9.140625" style="65"/>
    <col min="9200" max="9200" width="14" style="65" customWidth="1"/>
    <col min="9201" max="9201" width="60" style="65" customWidth="1"/>
    <col min="9202" max="9202" width="23.85546875" style="65" bestFit="1" customWidth="1"/>
    <col min="9203" max="9204" width="31.5703125" style="65" customWidth="1"/>
    <col min="9205" max="9205" width="27.140625" style="65" customWidth="1"/>
    <col min="9206" max="9206" width="21.28515625" style="65" bestFit="1" customWidth="1"/>
    <col min="9207" max="9207" width="9" style="65" customWidth="1"/>
    <col min="9208" max="9455" width="9.140625" style="65"/>
    <col min="9456" max="9456" width="14" style="65" customWidth="1"/>
    <col min="9457" max="9457" width="60" style="65" customWidth="1"/>
    <col min="9458" max="9458" width="23.85546875" style="65" bestFit="1" customWidth="1"/>
    <col min="9459" max="9460" width="31.5703125" style="65" customWidth="1"/>
    <col min="9461" max="9461" width="27.140625" style="65" customWidth="1"/>
    <col min="9462" max="9462" width="21.28515625" style="65" bestFit="1" customWidth="1"/>
    <col min="9463" max="9463" width="9" style="65" customWidth="1"/>
    <col min="9464" max="9711" width="9.140625" style="65"/>
    <col min="9712" max="9712" width="14" style="65" customWidth="1"/>
    <col min="9713" max="9713" width="60" style="65" customWidth="1"/>
    <col min="9714" max="9714" width="23.85546875" style="65" bestFit="1" customWidth="1"/>
    <col min="9715" max="9716" width="31.5703125" style="65" customWidth="1"/>
    <col min="9717" max="9717" width="27.140625" style="65" customWidth="1"/>
    <col min="9718" max="9718" width="21.28515625" style="65" bestFit="1" customWidth="1"/>
    <col min="9719" max="9719" width="9" style="65" customWidth="1"/>
    <col min="9720" max="9967" width="9.140625" style="65"/>
    <col min="9968" max="9968" width="14" style="65" customWidth="1"/>
    <col min="9969" max="9969" width="60" style="65" customWidth="1"/>
    <col min="9970" max="9970" width="23.85546875" style="65" bestFit="1" customWidth="1"/>
    <col min="9971" max="9972" width="31.5703125" style="65" customWidth="1"/>
    <col min="9973" max="9973" width="27.140625" style="65" customWidth="1"/>
    <col min="9974" max="9974" width="21.28515625" style="65" bestFit="1" customWidth="1"/>
    <col min="9975" max="9975" width="9" style="65" customWidth="1"/>
    <col min="9976" max="10223" width="9.140625" style="65"/>
    <col min="10224" max="10224" width="14" style="65" customWidth="1"/>
    <col min="10225" max="10225" width="60" style="65" customWidth="1"/>
    <col min="10226" max="10226" width="23.85546875" style="65" bestFit="1" customWidth="1"/>
    <col min="10227" max="10228" width="31.5703125" style="65" customWidth="1"/>
    <col min="10229" max="10229" width="27.140625" style="65" customWidth="1"/>
    <col min="10230" max="10230" width="21.28515625" style="65" bestFit="1" customWidth="1"/>
    <col min="10231" max="10231" width="9" style="65" customWidth="1"/>
    <col min="10232" max="10479" width="9.140625" style="65"/>
    <col min="10480" max="10480" width="14" style="65" customWidth="1"/>
    <col min="10481" max="10481" width="60" style="65" customWidth="1"/>
    <col min="10482" max="10482" width="23.85546875" style="65" bestFit="1" customWidth="1"/>
    <col min="10483" max="10484" width="31.5703125" style="65" customWidth="1"/>
    <col min="10485" max="10485" width="27.140625" style="65" customWidth="1"/>
    <col min="10486" max="10486" width="21.28515625" style="65" bestFit="1" customWidth="1"/>
    <col min="10487" max="10487" width="9" style="65" customWidth="1"/>
    <col min="10488" max="10735" width="9.140625" style="65"/>
    <col min="10736" max="10736" width="14" style="65" customWidth="1"/>
    <col min="10737" max="10737" width="60" style="65" customWidth="1"/>
    <col min="10738" max="10738" width="23.85546875" style="65" bestFit="1" customWidth="1"/>
    <col min="10739" max="10740" width="31.5703125" style="65" customWidth="1"/>
    <col min="10741" max="10741" width="27.140625" style="65" customWidth="1"/>
    <col min="10742" max="10742" width="21.28515625" style="65" bestFit="1" customWidth="1"/>
    <col min="10743" max="10743" width="9" style="65" customWidth="1"/>
    <col min="10744" max="10991" width="9.140625" style="65"/>
    <col min="10992" max="10992" width="14" style="65" customWidth="1"/>
    <col min="10993" max="10993" width="60" style="65" customWidth="1"/>
    <col min="10994" max="10994" width="23.85546875" style="65" bestFit="1" customWidth="1"/>
    <col min="10995" max="10996" width="31.5703125" style="65" customWidth="1"/>
    <col min="10997" max="10997" width="27.140625" style="65" customWidth="1"/>
    <col min="10998" max="10998" width="21.28515625" style="65" bestFit="1" customWidth="1"/>
    <col min="10999" max="10999" width="9" style="65" customWidth="1"/>
    <col min="11000" max="11247" width="9.140625" style="65"/>
    <col min="11248" max="11248" width="14" style="65" customWidth="1"/>
    <col min="11249" max="11249" width="60" style="65" customWidth="1"/>
    <col min="11250" max="11250" width="23.85546875" style="65" bestFit="1" customWidth="1"/>
    <col min="11251" max="11252" width="31.5703125" style="65" customWidth="1"/>
    <col min="11253" max="11253" width="27.140625" style="65" customWidth="1"/>
    <col min="11254" max="11254" width="21.28515625" style="65" bestFit="1" customWidth="1"/>
    <col min="11255" max="11255" width="9" style="65" customWidth="1"/>
    <col min="11256" max="11503" width="9.140625" style="65"/>
    <col min="11504" max="11504" width="14" style="65" customWidth="1"/>
    <col min="11505" max="11505" width="60" style="65" customWidth="1"/>
    <col min="11506" max="11506" width="23.85546875" style="65" bestFit="1" customWidth="1"/>
    <col min="11507" max="11508" width="31.5703125" style="65" customWidth="1"/>
    <col min="11509" max="11509" width="27.140625" style="65" customWidth="1"/>
    <col min="11510" max="11510" width="21.28515625" style="65" bestFit="1" customWidth="1"/>
    <col min="11511" max="11511" width="9" style="65" customWidth="1"/>
    <col min="11512" max="11759" width="9.140625" style="65"/>
    <col min="11760" max="11760" width="14" style="65" customWidth="1"/>
    <col min="11761" max="11761" width="60" style="65" customWidth="1"/>
    <col min="11762" max="11762" width="23.85546875" style="65" bestFit="1" customWidth="1"/>
    <col min="11763" max="11764" width="31.5703125" style="65" customWidth="1"/>
    <col min="11765" max="11765" width="27.140625" style="65" customWidth="1"/>
    <col min="11766" max="11766" width="21.28515625" style="65" bestFit="1" customWidth="1"/>
    <col min="11767" max="11767" width="9" style="65" customWidth="1"/>
    <col min="11768" max="12015" width="9.140625" style="65"/>
    <col min="12016" max="12016" width="14" style="65" customWidth="1"/>
    <col min="12017" max="12017" width="60" style="65" customWidth="1"/>
    <col min="12018" max="12018" width="23.85546875" style="65" bestFit="1" customWidth="1"/>
    <col min="12019" max="12020" width="31.5703125" style="65" customWidth="1"/>
    <col min="12021" max="12021" width="27.140625" style="65" customWidth="1"/>
    <col min="12022" max="12022" width="21.28515625" style="65" bestFit="1" customWidth="1"/>
    <col min="12023" max="12023" width="9" style="65" customWidth="1"/>
    <col min="12024" max="12271" width="9.140625" style="65"/>
    <col min="12272" max="12272" width="14" style="65" customWidth="1"/>
    <col min="12273" max="12273" width="60" style="65" customWidth="1"/>
    <col min="12274" max="12274" width="23.85546875" style="65" bestFit="1" customWidth="1"/>
    <col min="12275" max="12276" width="31.5703125" style="65" customWidth="1"/>
    <col min="12277" max="12277" width="27.140625" style="65" customWidth="1"/>
    <col min="12278" max="12278" width="21.28515625" style="65" bestFit="1" customWidth="1"/>
    <col min="12279" max="12279" width="9" style="65" customWidth="1"/>
    <col min="12280" max="12527" width="9.140625" style="65"/>
    <col min="12528" max="12528" width="14" style="65" customWidth="1"/>
    <col min="12529" max="12529" width="60" style="65" customWidth="1"/>
    <col min="12530" max="12530" width="23.85546875" style="65" bestFit="1" customWidth="1"/>
    <col min="12531" max="12532" width="31.5703125" style="65" customWidth="1"/>
    <col min="12533" max="12533" width="27.140625" style="65" customWidth="1"/>
    <col min="12534" max="12534" width="21.28515625" style="65" bestFit="1" customWidth="1"/>
    <col min="12535" max="12535" width="9" style="65" customWidth="1"/>
    <col min="12536" max="12783" width="9.140625" style="65"/>
    <col min="12784" max="12784" width="14" style="65" customWidth="1"/>
    <col min="12785" max="12785" width="60" style="65" customWidth="1"/>
    <col min="12786" max="12786" width="23.85546875" style="65" bestFit="1" customWidth="1"/>
    <col min="12787" max="12788" width="31.5703125" style="65" customWidth="1"/>
    <col min="12789" max="12789" width="27.140625" style="65" customWidth="1"/>
    <col min="12790" max="12790" width="21.28515625" style="65" bestFit="1" customWidth="1"/>
    <col min="12791" max="12791" width="9" style="65" customWidth="1"/>
    <col min="12792" max="13039" width="9.140625" style="65"/>
    <col min="13040" max="13040" width="14" style="65" customWidth="1"/>
    <col min="13041" max="13041" width="60" style="65" customWidth="1"/>
    <col min="13042" max="13042" width="23.85546875" style="65" bestFit="1" customWidth="1"/>
    <col min="13043" max="13044" width="31.5703125" style="65" customWidth="1"/>
    <col min="13045" max="13045" width="27.140625" style="65" customWidth="1"/>
    <col min="13046" max="13046" width="21.28515625" style="65" bestFit="1" customWidth="1"/>
    <col min="13047" max="13047" width="9" style="65" customWidth="1"/>
    <col min="13048" max="13295" width="9.140625" style="65"/>
    <col min="13296" max="13296" width="14" style="65" customWidth="1"/>
    <col min="13297" max="13297" width="60" style="65" customWidth="1"/>
    <col min="13298" max="13298" width="23.85546875" style="65" bestFit="1" customWidth="1"/>
    <col min="13299" max="13300" width="31.5703125" style="65" customWidth="1"/>
    <col min="13301" max="13301" width="27.140625" style="65" customWidth="1"/>
    <col min="13302" max="13302" width="21.28515625" style="65" bestFit="1" customWidth="1"/>
    <col min="13303" max="13303" width="9" style="65" customWidth="1"/>
    <col min="13304" max="13551" width="9.140625" style="65"/>
    <col min="13552" max="13552" width="14" style="65" customWidth="1"/>
    <col min="13553" max="13553" width="60" style="65" customWidth="1"/>
    <col min="13554" max="13554" width="23.85546875" style="65" bestFit="1" customWidth="1"/>
    <col min="13555" max="13556" width="31.5703125" style="65" customWidth="1"/>
    <col min="13557" max="13557" width="27.140625" style="65" customWidth="1"/>
    <col min="13558" max="13558" width="21.28515625" style="65" bestFit="1" customWidth="1"/>
    <col min="13559" max="13559" width="9" style="65" customWidth="1"/>
    <col min="13560" max="13807" width="9.140625" style="65"/>
    <col min="13808" max="13808" width="14" style="65" customWidth="1"/>
    <col min="13809" max="13809" width="60" style="65" customWidth="1"/>
    <col min="13810" max="13810" width="23.85546875" style="65" bestFit="1" customWidth="1"/>
    <col min="13811" max="13812" width="31.5703125" style="65" customWidth="1"/>
    <col min="13813" max="13813" width="27.140625" style="65" customWidth="1"/>
    <col min="13814" max="13814" width="21.28515625" style="65" bestFit="1" customWidth="1"/>
    <col min="13815" max="13815" width="9" style="65" customWidth="1"/>
    <col min="13816" max="14063" width="9.140625" style="65"/>
    <col min="14064" max="14064" width="14" style="65" customWidth="1"/>
    <col min="14065" max="14065" width="60" style="65" customWidth="1"/>
    <col min="14066" max="14066" width="23.85546875" style="65" bestFit="1" customWidth="1"/>
    <col min="14067" max="14068" width="31.5703125" style="65" customWidth="1"/>
    <col min="14069" max="14069" width="27.140625" style="65" customWidth="1"/>
    <col min="14070" max="14070" width="21.28515625" style="65" bestFit="1" customWidth="1"/>
    <col min="14071" max="14071" width="9" style="65" customWidth="1"/>
    <col min="14072" max="14319" width="9.140625" style="65"/>
    <col min="14320" max="14320" width="14" style="65" customWidth="1"/>
    <col min="14321" max="14321" width="60" style="65" customWidth="1"/>
    <col min="14322" max="14322" width="23.85546875" style="65" bestFit="1" customWidth="1"/>
    <col min="14323" max="14324" width="31.5703125" style="65" customWidth="1"/>
    <col min="14325" max="14325" width="27.140625" style="65" customWidth="1"/>
    <col min="14326" max="14326" width="21.28515625" style="65" bestFit="1" customWidth="1"/>
    <col min="14327" max="14327" width="9" style="65" customWidth="1"/>
    <col min="14328" max="14575" width="9.140625" style="65"/>
    <col min="14576" max="14576" width="14" style="65" customWidth="1"/>
    <col min="14577" max="14577" width="60" style="65" customWidth="1"/>
    <col min="14578" max="14578" width="23.85546875" style="65" bestFit="1" customWidth="1"/>
    <col min="14579" max="14580" width="31.5703125" style="65" customWidth="1"/>
    <col min="14581" max="14581" width="27.140625" style="65" customWidth="1"/>
    <col min="14582" max="14582" width="21.28515625" style="65" bestFit="1" customWidth="1"/>
    <col min="14583" max="14583" width="9" style="65" customWidth="1"/>
    <col min="14584" max="14831" width="9.140625" style="65"/>
    <col min="14832" max="14832" width="14" style="65" customWidth="1"/>
    <col min="14833" max="14833" width="60" style="65" customWidth="1"/>
    <col min="14834" max="14834" width="23.85546875" style="65" bestFit="1" customWidth="1"/>
    <col min="14835" max="14836" width="31.5703125" style="65" customWidth="1"/>
    <col min="14837" max="14837" width="27.140625" style="65" customWidth="1"/>
    <col min="14838" max="14838" width="21.28515625" style="65" bestFit="1" customWidth="1"/>
    <col min="14839" max="14839" width="9" style="65" customWidth="1"/>
    <col min="14840" max="15087" width="9.140625" style="65"/>
    <col min="15088" max="15088" width="14" style="65" customWidth="1"/>
    <col min="15089" max="15089" width="60" style="65" customWidth="1"/>
    <col min="15090" max="15090" width="23.85546875" style="65" bestFit="1" customWidth="1"/>
    <col min="15091" max="15092" width="31.5703125" style="65" customWidth="1"/>
    <col min="15093" max="15093" width="27.140625" style="65" customWidth="1"/>
    <col min="15094" max="15094" width="21.28515625" style="65" bestFit="1" customWidth="1"/>
    <col min="15095" max="15095" width="9" style="65" customWidth="1"/>
    <col min="15096" max="15343" width="9.140625" style="65"/>
    <col min="15344" max="15344" width="14" style="65" customWidth="1"/>
    <col min="15345" max="15345" width="60" style="65" customWidth="1"/>
    <col min="15346" max="15346" width="23.85546875" style="65" bestFit="1" customWidth="1"/>
    <col min="15347" max="15348" width="31.5703125" style="65" customWidth="1"/>
    <col min="15349" max="15349" width="27.140625" style="65" customWidth="1"/>
    <col min="15350" max="15350" width="21.28515625" style="65" bestFit="1" customWidth="1"/>
    <col min="15351" max="15351" width="9" style="65" customWidth="1"/>
    <col min="15352" max="15599" width="9.140625" style="65"/>
    <col min="15600" max="15600" width="14" style="65" customWidth="1"/>
    <col min="15601" max="15601" width="60" style="65" customWidth="1"/>
    <col min="15602" max="15602" width="23.85546875" style="65" bestFit="1" customWidth="1"/>
    <col min="15603" max="15604" width="31.5703125" style="65" customWidth="1"/>
    <col min="15605" max="15605" width="27.140625" style="65" customWidth="1"/>
    <col min="15606" max="15606" width="21.28515625" style="65" bestFit="1" customWidth="1"/>
    <col min="15607" max="15607" width="9" style="65" customWidth="1"/>
    <col min="15608" max="15855" width="9.140625" style="65"/>
    <col min="15856" max="15856" width="14" style="65" customWidth="1"/>
    <col min="15857" max="15857" width="60" style="65" customWidth="1"/>
    <col min="15858" max="15858" width="23.85546875" style="65" bestFit="1" customWidth="1"/>
    <col min="15859" max="15860" width="31.5703125" style="65" customWidth="1"/>
    <col min="15861" max="15861" width="27.140625" style="65" customWidth="1"/>
    <col min="15862" max="15862" width="21.28515625" style="65" bestFit="1" customWidth="1"/>
    <col min="15863" max="15863" width="9" style="65" customWidth="1"/>
    <col min="15864" max="16111" width="9.140625" style="65"/>
    <col min="16112" max="16112" width="14" style="65" customWidth="1"/>
    <col min="16113" max="16113" width="60" style="65" customWidth="1"/>
    <col min="16114" max="16114" width="23.85546875" style="65" bestFit="1" customWidth="1"/>
    <col min="16115" max="16116" width="31.5703125" style="65" customWidth="1"/>
    <col min="16117" max="16117" width="27.140625" style="65" customWidth="1"/>
    <col min="16118" max="16118" width="21.28515625" style="65" bestFit="1" customWidth="1"/>
    <col min="16119" max="16119" width="9" style="65" customWidth="1"/>
    <col min="16120" max="16384" width="9.140625" style="65"/>
  </cols>
  <sheetData>
    <row r="1" spans="3:10" x14ac:dyDescent="0.25">
      <c r="C1" s="345" t="s">
        <v>1087</v>
      </c>
      <c r="D1" s="345"/>
      <c r="E1" s="345"/>
      <c r="F1" s="345"/>
      <c r="G1" s="345"/>
      <c r="H1" s="345"/>
      <c r="I1" s="345"/>
    </row>
    <row r="2" spans="3:10" x14ac:dyDescent="0.25">
      <c r="C2" s="346" t="s">
        <v>1400</v>
      </c>
      <c r="D2" s="346"/>
      <c r="E2" s="346"/>
      <c r="F2" s="346"/>
      <c r="G2" s="346"/>
      <c r="H2" s="346"/>
      <c r="I2" s="346"/>
    </row>
    <row r="3" spans="3:10" x14ac:dyDescent="0.25">
      <c r="C3" s="287"/>
      <c r="D3" s="287"/>
      <c r="E3" s="287"/>
      <c r="F3" s="66"/>
      <c r="G3" s="67"/>
      <c r="H3" s="66"/>
      <c r="I3" s="287"/>
    </row>
    <row r="4" spans="3:10" x14ac:dyDescent="0.25">
      <c r="C4" s="68" t="s">
        <v>897</v>
      </c>
      <c r="D4" s="287"/>
      <c r="E4" s="287"/>
      <c r="F4" s="66"/>
      <c r="G4" s="67"/>
      <c r="H4" s="66"/>
      <c r="I4" s="287"/>
    </row>
    <row r="5" spans="3:10" x14ac:dyDescent="0.25">
      <c r="C5" s="69" t="s">
        <v>1088</v>
      </c>
      <c r="D5" s="70"/>
      <c r="E5" s="112">
        <v>570073000</v>
      </c>
      <c r="F5" s="72"/>
      <c r="G5" s="73" t="s">
        <v>1404</v>
      </c>
      <c r="H5" s="295"/>
      <c r="I5" s="265">
        <f>SUM(Dividends!J29:J113)</f>
        <v>24836394.379999999</v>
      </c>
    </row>
    <row r="6" spans="3:10" ht="17.25" x14ac:dyDescent="0.25">
      <c r="C6" s="293" t="s">
        <v>1403</v>
      </c>
      <c r="D6" s="70"/>
      <c r="E6" s="112">
        <v>532621000</v>
      </c>
      <c r="F6" s="72"/>
      <c r="G6" s="73" t="s">
        <v>1091</v>
      </c>
      <c r="H6" s="74"/>
      <c r="I6" s="265">
        <f>SUM(I7:I9)</f>
        <v>970100</v>
      </c>
    </row>
    <row r="7" spans="3:10" x14ac:dyDescent="0.25">
      <c r="C7" s="69"/>
      <c r="D7" s="70"/>
      <c r="E7" s="71"/>
      <c r="F7" s="72"/>
      <c r="G7" s="347" t="s">
        <v>1012</v>
      </c>
      <c r="H7" s="347"/>
      <c r="I7" s="266">
        <f>SUM(H14:H18)</f>
        <v>949800</v>
      </c>
    </row>
    <row r="8" spans="3:10" s="185" customFormat="1" x14ac:dyDescent="0.25">
      <c r="C8" s="76"/>
      <c r="D8" s="77"/>
      <c r="E8" s="78"/>
      <c r="F8" s="72"/>
      <c r="G8" s="347" t="s">
        <v>1011</v>
      </c>
      <c r="H8" s="347"/>
      <c r="I8" s="266">
        <f>H20</f>
        <v>20300</v>
      </c>
    </row>
    <row r="9" spans="3:10" s="185" customFormat="1" x14ac:dyDescent="0.25">
      <c r="C9" s="76"/>
      <c r="D9" s="77"/>
      <c r="E9" s="79"/>
      <c r="F9" s="72"/>
      <c r="G9" s="347" t="s">
        <v>904</v>
      </c>
      <c r="H9" s="347"/>
      <c r="I9" s="266">
        <f>SUM(H22:H23)</f>
        <v>0</v>
      </c>
    </row>
    <row r="10" spans="3:10" s="185" customFormat="1" x14ac:dyDescent="0.25">
      <c r="C10" s="80"/>
      <c r="D10" s="77"/>
      <c r="E10" s="79"/>
      <c r="F10" s="72"/>
      <c r="G10" s="81"/>
      <c r="H10" s="82"/>
      <c r="I10" s="75"/>
    </row>
    <row r="11" spans="3:10" s="185" customFormat="1" x14ac:dyDescent="0.25">
      <c r="C11" s="80"/>
      <c r="D11" s="77"/>
      <c r="E11" s="79"/>
      <c r="F11" s="72"/>
      <c r="G11" s="81"/>
      <c r="H11" s="82"/>
      <c r="I11" s="75"/>
    </row>
    <row r="12" spans="3:10" ht="33" thickBot="1" x14ac:dyDescent="0.3">
      <c r="C12" s="83" t="s">
        <v>754</v>
      </c>
      <c r="D12" s="84" t="s">
        <v>817</v>
      </c>
      <c r="E12" s="113" t="s">
        <v>818</v>
      </c>
      <c r="F12" s="85" t="s">
        <v>1093</v>
      </c>
      <c r="G12" s="86" t="s">
        <v>1092</v>
      </c>
      <c r="H12" s="85" t="s">
        <v>1251</v>
      </c>
      <c r="I12" s="83" t="s">
        <v>1096</v>
      </c>
    </row>
    <row r="13" spans="3:10" x14ac:dyDescent="0.25">
      <c r="C13" s="87"/>
      <c r="D13" s="88" t="s">
        <v>819</v>
      </c>
      <c r="E13" s="89"/>
      <c r="F13" s="90"/>
      <c r="G13" s="91"/>
      <c r="H13" s="90"/>
      <c r="I13" s="87"/>
    </row>
    <row r="14" spans="3:10" x14ac:dyDescent="0.25">
      <c r="C14" s="166" t="s">
        <v>1170</v>
      </c>
      <c r="D14" s="148" t="s">
        <v>1089</v>
      </c>
      <c r="E14" s="150">
        <v>18980000</v>
      </c>
      <c r="F14" s="159">
        <v>284700</v>
      </c>
      <c r="G14" s="159">
        <v>284700</v>
      </c>
      <c r="H14" s="159">
        <v>0</v>
      </c>
      <c r="I14" s="92">
        <v>0</v>
      </c>
    </row>
    <row r="15" spans="3:10" x14ac:dyDescent="0.25">
      <c r="C15" s="168"/>
      <c r="D15" s="151" t="s">
        <v>1131</v>
      </c>
      <c r="E15" s="231">
        <v>17000000</v>
      </c>
      <c r="F15" s="264">
        <f>510000+85000</f>
        <v>595000</v>
      </c>
      <c r="G15" s="167">
        <v>0</v>
      </c>
      <c r="H15" s="264">
        <f>510000+85000</f>
        <v>595000</v>
      </c>
      <c r="I15" s="48">
        <f>6+1</f>
        <v>7</v>
      </c>
      <c r="J15" s="146"/>
    </row>
    <row r="16" spans="3:10" x14ac:dyDescent="0.25">
      <c r="C16" s="48"/>
      <c r="D16" s="38" t="s">
        <v>1090</v>
      </c>
      <c r="E16" s="150">
        <v>6245000</v>
      </c>
      <c r="F16" s="158">
        <f>218575+31225</f>
        <v>249800</v>
      </c>
      <c r="G16" s="158">
        <v>0</v>
      </c>
      <c r="H16" s="158">
        <f>218575+31225</f>
        <v>249800</v>
      </c>
      <c r="I16" s="48">
        <f>7+1</f>
        <v>8</v>
      </c>
      <c r="J16" s="146"/>
    </row>
    <row r="17" spans="3:10" x14ac:dyDescent="0.25">
      <c r="C17" s="168"/>
      <c r="D17" s="151" t="s">
        <v>1132</v>
      </c>
      <c r="E17" s="232">
        <v>3000000</v>
      </c>
      <c r="F17" s="167">
        <f>90000+15000</f>
        <v>105000</v>
      </c>
      <c r="G17" s="167">
        <v>0</v>
      </c>
      <c r="H17" s="167">
        <f>90000+15000</f>
        <v>105000</v>
      </c>
      <c r="I17" s="48">
        <f>6+1</f>
        <v>7</v>
      </c>
      <c r="J17" s="146"/>
    </row>
    <row r="18" spans="3:10" ht="30.75" thickBot="1" x14ac:dyDescent="0.3">
      <c r="C18" s="192">
        <v>2</v>
      </c>
      <c r="D18" s="186" t="s">
        <v>1181</v>
      </c>
      <c r="E18" s="187">
        <v>57000</v>
      </c>
      <c r="F18" s="188">
        <v>570</v>
      </c>
      <c r="G18" s="188">
        <v>570</v>
      </c>
      <c r="H18" s="188">
        <v>0</v>
      </c>
      <c r="I18" s="192">
        <v>0</v>
      </c>
    </row>
    <row r="19" spans="3:10" x14ac:dyDescent="0.25">
      <c r="C19" s="181"/>
      <c r="D19" s="184" t="s">
        <v>874</v>
      </c>
      <c r="E19" s="182"/>
      <c r="F19" s="183"/>
      <c r="G19" s="183"/>
      <c r="H19" s="183"/>
      <c r="I19" s="181"/>
    </row>
    <row r="20" spans="3:10" ht="15.75" thickBot="1" x14ac:dyDescent="0.3">
      <c r="C20" s="168"/>
      <c r="D20" s="154" t="s">
        <v>1242</v>
      </c>
      <c r="E20" s="189">
        <v>1747000</v>
      </c>
      <c r="F20" s="167">
        <v>20300</v>
      </c>
      <c r="G20" s="167">
        <v>0</v>
      </c>
      <c r="H20" s="167">
        <v>20300</v>
      </c>
      <c r="I20" s="168">
        <v>1</v>
      </c>
    </row>
    <row r="21" spans="3:10" x14ac:dyDescent="0.25">
      <c r="C21" s="181"/>
      <c r="D21" s="184" t="s">
        <v>1325</v>
      </c>
      <c r="E21" s="182"/>
      <c r="F21" s="183"/>
      <c r="G21" s="183"/>
      <c r="H21" s="183"/>
      <c r="I21" s="181"/>
    </row>
    <row r="22" spans="3:10" x14ac:dyDescent="0.25">
      <c r="C22" s="168"/>
      <c r="D22" s="41" t="s">
        <v>1324</v>
      </c>
      <c r="E22" s="189">
        <v>283000</v>
      </c>
      <c r="F22" s="233">
        <v>1415</v>
      </c>
      <c r="G22" s="233">
        <v>1415</v>
      </c>
      <c r="H22" s="233">
        <v>0</v>
      </c>
      <c r="I22" s="168">
        <v>0</v>
      </c>
    </row>
    <row r="23" spans="3:10" ht="15.75" thickBot="1" x14ac:dyDescent="0.3">
      <c r="C23" s="193">
        <v>5</v>
      </c>
      <c r="D23" s="194" t="s">
        <v>1249</v>
      </c>
      <c r="E23" s="190">
        <v>6784000</v>
      </c>
      <c r="F23" s="191">
        <v>316624.36</v>
      </c>
      <c r="G23" s="191">
        <v>0</v>
      </c>
      <c r="H23" s="195" t="s">
        <v>461</v>
      </c>
      <c r="I23" s="193">
        <v>0</v>
      </c>
    </row>
    <row r="24" spans="3:10" x14ac:dyDescent="0.25">
      <c r="C24" s="102"/>
      <c r="D24" s="103"/>
      <c r="E24" s="103"/>
      <c r="F24" s="104"/>
      <c r="G24" s="105"/>
      <c r="H24" s="104"/>
      <c r="I24" s="106"/>
    </row>
    <row r="25" spans="3:10" x14ac:dyDescent="0.25">
      <c r="C25" s="114" t="s">
        <v>754</v>
      </c>
      <c r="D25" s="115"/>
      <c r="E25" s="115"/>
      <c r="F25" s="116"/>
      <c r="G25" s="117"/>
      <c r="H25" s="116"/>
      <c r="I25" s="118"/>
    </row>
    <row r="26" spans="3:10" x14ac:dyDescent="0.25">
      <c r="C26" s="119"/>
      <c r="D26" s="120"/>
      <c r="E26" s="120"/>
      <c r="F26" s="104"/>
      <c r="G26" s="105"/>
      <c r="H26" s="104"/>
      <c r="I26" s="106"/>
    </row>
    <row r="27" spans="3:10" x14ac:dyDescent="0.25">
      <c r="C27" s="125" t="s">
        <v>1095</v>
      </c>
      <c r="D27" s="125"/>
      <c r="E27" s="125"/>
      <c r="F27" s="126"/>
      <c r="G27" s="127"/>
      <c r="H27" s="126"/>
      <c r="I27" s="106"/>
    </row>
    <row r="28" spans="3:10" x14ac:dyDescent="0.25">
      <c r="C28" s="121" t="s">
        <v>1094</v>
      </c>
      <c r="D28" s="121"/>
      <c r="E28" s="121"/>
      <c r="F28" s="128"/>
      <c r="G28" s="129"/>
      <c r="H28" s="128"/>
      <c r="I28" s="106"/>
    </row>
    <row r="29" spans="3:10" x14ac:dyDescent="0.25">
      <c r="C29" s="288" t="s">
        <v>1335</v>
      </c>
      <c r="D29" s="121"/>
      <c r="E29" s="121"/>
      <c r="F29" s="128"/>
      <c r="G29" s="129"/>
      <c r="H29" s="128"/>
      <c r="I29" s="106"/>
    </row>
    <row r="30" spans="3:10" ht="47.25" customHeight="1" x14ac:dyDescent="0.25">
      <c r="C30" s="350" t="s">
        <v>1252</v>
      </c>
      <c r="D30" s="350"/>
      <c r="E30" s="350"/>
      <c r="F30" s="350"/>
      <c r="G30" s="350"/>
      <c r="H30" s="350"/>
      <c r="I30" s="350"/>
    </row>
    <row r="31" spans="3:10" ht="29.25" customHeight="1" x14ac:dyDescent="0.25">
      <c r="C31" s="353" t="s">
        <v>1250</v>
      </c>
      <c r="D31" s="353"/>
      <c r="E31" s="353"/>
      <c r="F31" s="353"/>
      <c r="G31" s="353"/>
      <c r="H31" s="353"/>
      <c r="I31" s="353"/>
    </row>
    <row r="32" spans="3:10" x14ac:dyDescent="0.25">
      <c r="C32" s="289"/>
      <c r="D32" s="115"/>
      <c r="E32" s="115"/>
      <c r="F32" s="116"/>
      <c r="G32" s="117"/>
      <c r="H32" s="116"/>
      <c r="I32" s="118"/>
    </row>
    <row r="33" spans="3:9" x14ac:dyDescent="0.25">
      <c r="C33" s="139"/>
      <c r="D33" s="139"/>
      <c r="E33" s="139"/>
      <c r="F33" s="140"/>
      <c r="G33" s="139"/>
      <c r="H33" s="140"/>
      <c r="I33" s="139"/>
    </row>
    <row r="34" spans="3:9" x14ac:dyDescent="0.25">
      <c r="C34" s="141"/>
      <c r="D34" s="142"/>
      <c r="E34" s="142"/>
      <c r="F34" s="64"/>
      <c r="G34" s="143"/>
      <c r="H34" s="64"/>
      <c r="I34" s="144"/>
    </row>
    <row r="35" spans="3:9" x14ac:dyDescent="0.25">
      <c r="D35" s="145"/>
      <c r="E35" s="145"/>
      <c r="F35" s="146"/>
      <c r="G35" s="147"/>
      <c r="H35" s="146"/>
      <c r="I35" s="65"/>
    </row>
    <row r="36" spans="3:9" x14ac:dyDescent="0.25">
      <c r="D36" s="145"/>
      <c r="E36" s="145" t="s">
        <v>1241</v>
      </c>
      <c r="F36" s="146"/>
      <c r="G36" s="147"/>
      <c r="H36" s="146"/>
      <c r="I36" s="65"/>
    </row>
    <row r="37" spans="3:9" x14ac:dyDescent="0.25">
      <c r="D37" s="145"/>
      <c r="E37" s="145"/>
      <c r="F37" s="146"/>
      <c r="G37" s="147"/>
      <c r="H37" s="146"/>
      <c r="I37" s="65"/>
    </row>
    <row r="38" spans="3:9" x14ac:dyDescent="0.25">
      <c r="D38" s="145"/>
      <c r="E38" s="145"/>
      <c r="F38" s="146"/>
      <c r="G38" s="147"/>
      <c r="H38" s="146"/>
      <c r="I38" s="65"/>
    </row>
    <row r="39" spans="3:9" x14ac:dyDescent="0.25">
      <c r="D39" s="145"/>
      <c r="E39" s="145"/>
      <c r="F39" s="146"/>
      <c r="G39" s="147"/>
      <c r="H39" s="146"/>
      <c r="I39" s="65"/>
    </row>
    <row r="40" spans="3:9" x14ac:dyDescent="0.25">
      <c r="D40" s="145"/>
      <c r="E40" s="145"/>
      <c r="F40" s="146"/>
      <c r="G40" s="147"/>
      <c r="H40" s="146"/>
      <c r="I40" s="65"/>
    </row>
    <row r="41" spans="3:9" x14ac:dyDescent="0.25">
      <c r="D41" s="145"/>
      <c r="E41" s="145"/>
      <c r="F41" s="146"/>
      <c r="G41" s="147"/>
      <c r="H41" s="146"/>
      <c r="I41" s="65"/>
    </row>
    <row r="42" spans="3:9" x14ac:dyDescent="0.25">
      <c r="E42" s="65"/>
      <c r="F42" s="146"/>
      <c r="G42" s="147"/>
      <c r="H42" s="146"/>
      <c r="I42" s="65"/>
    </row>
    <row r="43" spans="3:9" x14ac:dyDescent="0.25">
      <c r="E43" s="65"/>
      <c r="F43" s="146"/>
      <c r="G43" s="147"/>
      <c r="H43" s="146"/>
      <c r="I43" s="65"/>
    </row>
    <row r="44" spans="3:9" x14ac:dyDescent="0.25">
      <c r="D44" s="145"/>
      <c r="E44" s="145"/>
      <c r="F44" s="146"/>
      <c r="G44" s="147"/>
      <c r="H44" s="146"/>
      <c r="I44" s="65"/>
    </row>
    <row r="45" spans="3:9" x14ac:dyDescent="0.25">
      <c r="D45" s="145"/>
      <c r="E45" s="145"/>
      <c r="F45" s="146"/>
      <c r="G45" s="147"/>
      <c r="H45" s="146"/>
      <c r="I45" s="65"/>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2013-02-11T05:00:00+00:00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Investment</TarpDocumentCategory>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50BFB-8773-439C-B939-4C84D47D8D97}"/>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January 2013</dc:title>
  <dc:creator>N. Bynum</dc:creator>
  <cp:lastModifiedBy>David Roberts</cp:lastModifiedBy>
  <cp:lastPrinted>2012-10-09T15:35:10Z</cp:lastPrinted>
  <dcterms:created xsi:type="dcterms:W3CDTF">2009-06-25T14:14:37Z</dcterms:created>
  <dcterms:modified xsi:type="dcterms:W3CDTF">2013-02-15T20:14:50Z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