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xr:revisionPtr revIDLastSave="0" documentId="8_{647E9ED6-72A9-4DB7-8B81-E1339776F84F}" xr6:coauthVersionLast="45" xr6:coauthVersionMax="45" xr10:uidLastSave="{00000000-0000-0000-0000-000000000000}"/>
  <bookViews>
    <workbookView xWindow="2730" yWindow="2940" windowWidth="18030" windowHeight="12675" firstSheet="15" activeTab="19" xr2:uid="{00000000-000D-0000-FFFF-FFFF00000000}"/>
  </bookViews>
  <sheets>
    <sheet name="DASHBOARD" sheetId="2" r:id="rId1"/>
    <sheet name="DASHBOARD-Demographics" sheetId="3" r:id="rId2"/>
    <sheet name="DASHBOARD-Trending" sheetId="4" r:id="rId3"/>
    <sheet name="Core Q1-10, 12-38" sheetId="5" r:id="rId4"/>
    <sheet name="Core Perf Q11 Trend" sheetId="6" r:id="rId5"/>
    <sheet name="Core Q1-10, 12-38 Trend" sheetId="7" r:id="rId6"/>
    <sheet name="COVID-19 Bckgrnd Q39, 41-42" sheetId="8" r:id="rId7"/>
    <sheet name="Telework Q40 Trend" sheetId="9" r:id="rId8"/>
    <sheet name="COVID-19 Employee Sup Q43" sheetId="10" r:id="rId9"/>
    <sheet name="COVID-19 Employee Sup Q44-49" sheetId="11" r:id="rId10"/>
    <sheet name="COVID-19 Work Sup Q50" sheetId="12" r:id="rId11"/>
    <sheet name="COVID-19 Work Sup Q51" sheetId="13" r:id="rId12"/>
    <sheet name="COVID-19 Wk Eff Q52-53 56-57" sheetId="14" r:id="rId13"/>
    <sheet name="COVID-19 Wk Eff Q54-55" sheetId="15" r:id="rId14"/>
    <sheet name="Core Work-Life Q58-64 Trend" sheetId="16" r:id="rId15"/>
    <sheet name="COVID-19 Child Care Q65" sheetId="17" r:id="rId16"/>
    <sheet name="COVID-19 Elder Care Q66" sheetId="18" r:id="rId17"/>
    <sheet name="COVID-19 Closures Q67-68" sheetId="19" r:id="rId18"/>
    <sheet name="Demographics" sheetId="20" r:id="rId19"/>
    <sheet name="ASI" sheetId="21" r:id="rId20"/>
  </sheets>
  <externalReferences>
    <externalReference r:id="rId21"/>
    <externalReference r:id="rId22"/>
  </externalReferences>
  <definedNames>
    <definedName name="h">OFFSET([1]DASHBOARD_DEMOGRAPHICS!$E$42:$E$50, 0, 0, [1]DASHBOARD_DEMOGRAPHICS!$B$50)</definedName>
    <definedName name="LeftData" localSheetId="2">OFFSET('[2]DASHBOARD-Demographics'!$E$42:$E$50, 0, 0, '[2]DASHBOARD-Demographics'!$B$50)</definedName>
    <definedName name="LeftData">OFFSET('DASHBOARD-Demographics'!$E$42:$E$50, 0, 0, 'DASHBOARD-Demographics'!$B$50)</definedName>
    <definedName name="leftLabel" localSheetId="2">OFFSET('[2]DASHBOARD-Demographics'!$D$42:$D$50, 0, 0,'[2]DASHBOARD-Demographics'!$B$50)</definedName>
    <definedName name="leftLabel">OFFSET('DASHBOARD-Demographics'!$D$42:$D$50, 0, 0,'DASHBOARD-Demographics'!$B$50)</definedName>
    <definedName name="nrAgencyName">DASHBOARD!$T$2:$T$3</definedName>
    <definedName name="nrChallenges">DASHBOARD!$Z$2:$Z$3</definedName>
    <definedName name="nrDemoAgeGroup">'DASHBOARD-Demographics'!$U$5:$U$10</definedName>
    <definedName name="nrDemoAgeGroupLabel">'DASHBOARD-Demographics'!$T$5:$T$10</definedName>
    <definedName name="nrDemoAgencyName">'DASHBOARD-Demographics'!$T$2:$T$3</definedName>
    <definedName name="nrDemoDisability">#REF!</definedName>
    <definedName name="nrDemoEducation">'DASHBOARD-Demographics'!$Y$5:$Y$9</definedName>
    <definedName name="nrDemoEducationLabel">'DASHBOARD-Demographics'!$X$5:$X$9</definedName>
    <definedName name="nrDemoGender">'DASHBOARD-Demographics'!$U$2:$U$3</definedName>
    <definedName name="nrDemoGrade">'DASHBOARD-Demographics'!$AG$5:$AG$12</definedName>
    <definedName name="nrDemoGradeLabel">'DASHBOARD-Demographics'!$AF$5:$AF$12</definedName>
    <definedName name="nrDemoHispanic">'DASHBOARD-Demographics'!$V$2:$V$3</definedName>
    <definedName name="nrDemoLeave">'DASHBOARD-Demographics'!$AB$2:$AB$3</definedName>
    <definedName name="nrDemoLocation">'DASHBOARD-Demographics'!$Y$2:$Y$3</definedName>
    <definedName name="nrDemoMilitary">'DASHBOARD-Demographics'!$Z$2:$Z$3</definedName>
    <definedName name="nrDemoRacial">'DASHBOARD-Demographics'!$W$5:$W$8</definedName>
    <definedName name="nrDemoRacialLabel">'DASHBOARD-Demographics'!$V$5:$V$8</definedName>
    <definedName name="nrDemoRetirement">'DASHBOARD-Demographics'!$AA$2:$AA$3</definedName>
    <definedName name="nrDemoSexual">#REF!</definedName>
    <definedName name="nrDemoSupervisory">'DASHBOARD-Demographics'!$AE$5:$AE$10</definedName>
    <definedName name="nrDemoSupervisoryLabel">'DASHBOARD-Demographics'!$AD$5:$AD$10</definedName>
    <definedName name="nrDemoYearsAgency">'DASHBOARD-Demographics'!$AA$5:$AA$12</definedName>
    <definedName name="nrDemoYearsAgencyLabel">'DASHBOARD-Demographics'!$Z$5:$Z$12</definedName>
    <definedName name="nrDemoYearsFederal">'DASHBOARD-Demographics'!$AC$5:$AC$12</definedName>
    <definedName name="nrDemoYearsFederalLabel">'DASHBOARD-Demographics'!$AB$5:$AB$12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DASHBOARD!$B$42:$C$79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'DASHBOARD-Trending'!$T$2:$T$3</definedName>
    <definedName name="nrTrendData">'DASHBOARD-Trending'!$D$42:$G$79</definedName>
    <definedName name="nrTrendLargestDecrease2014">#REF!</definedName>
    <definedName name="nrTrendLargestDecrease2017">'DASHBOARD-Trending'!$AD$4:$AE$4</definedName>
    <definedName name="nrTrendLargestDecrease2018">'DASHBOARD-Trending'!$AB$4:$AC$4</definedName>
    <definedName name="nrTrendLargestDecrease2019">'DASHBOARD-Trending'!$Z$4:$AA$4</definedName>
    <definedName name="nrTrendLargestIncrease2014">#REF!</definedName>
    <definedName name="nrTrendLargestIncrease2017">'DASHBOARD-Trending'!$X$4:$Y$9</definedName>
    <definedName name="nrTrendLargestIncrease2018">'DASHBOARD-Trending'!$V$4:$W$9</definedName>
    <definedName name="nrTrendLargestIncrease2019">'DASHBOARD-Trending'!$T$4:$U$9</definedName>
    <definedName name="nrTrendNumDecrease2014">#REF!</definedName>
    <definedName name="nrTrendNumDecrease2017">'DASHBOARD-Trending'!$Z$2:$Z$3</definedName>
    <definedName name="nrTrendNumDecrease2018">'DASHBOARD-Trending'!$X$2:$X$3</definedName>
    <definedName name="nrTrendNumDecrease2019">'DASHBOARD-Trending'!$V$2:$V$3</definedName>
    <definedName name="nrTrendNumIncrease2014">#REF!</definedName>
    <definedName name="nrTrendNumIncrease2017">'DASHBOARD-Trending'!$Y$2:$Y$3</definedName>
    <definedName name="nrTrendNumIncrease2018">'DASHBOARD-Trending'!$W$2:$W$3</definedName>
    <definedName name="nrTrendNumIncrease2019">'DASHBOARD-Trending'!$U$2:$U$3</definedName>
    <definedName name="nrTrendQuestions">'DASHBOARD-Trending'!$B$42:$C$79</definedName>
    <definedName name="_xlnm.Print_Area" localSheetId="0">DASHBOARD!$B$2:$R$40</definedName>
    <definedName name="_xlnm.Print_Area" localSheetId="1">'DASHBOARD-Demographics'!$B$2:$R$40</definedName>
    <definedName name="_xlnm.Print_Area" localSheetId="2">'DASHBOARD-Trending'!$B$2:$R$40</definedName>
    <definedName name="RightData" localSheetId="2">OFFSET('[2]DASHBOARD-Demographics'!$E$50:$E$56, 0, 0, '[2]DASHBOARD-Demographics'!$B$51)</definedName>
    <definedName name="RightData">OFFSET('DASHBOARD-Demographics'!$E$50:$E$56, 0, 0, 'DASHBOARD-Demographics'!$B$51)</definedName>
    <definedName name="RightLabel" localSheetId="2">OFFSET('[2]DASHBOARD-Demographics'!$D$50:$D$56, 0, 0, '[2]DASHBOARD-Demographics'!$B$51)</definedName>
    <definedName name="RightLabel">OFFSET('DASHBOARD-Demographics'!$D$50:$D$56, 0, 0, 'DASHBOARD-Demographics'!$B$51)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8" i="4" l="1"/>
  <c r="U37" i="4"/>
  <c r="U36" i="4"/>
  <c r="U35" i="4"/>
  <c r="U34" i="4"/>
  <c r="D34" i="4"/>
  <c r="U33" i="4"/>
  <c r="V32" i="4"/>
  <c r="U32" i="4"/>
  <c r="V31" i="4"/>
  <c r="U31" i="4"/>
  <c r="Y29" i="4"/>
  <c r="X29" i="4"/>
  <c r="W29" i="4"/>
  <c r="Y28" i="4"/>
  <c r="X28" i="4"/>
  <c r="W28" i="4"/>
  <c r="Y27" i="4"/>
  <c r="X27" i="4"/>
  <c r="W27" i="4"/>
  <c r="Y26" i="4"/>
  <c r="X26" i="4"/>
  <c r="W26" i="4"/>
  <c r="AF25" i="4"/>
  <c r="AE25" i="4"/>
  <c r="AC25" i="4"/>
  <c r="AF24" i="4"/>
  <c r="AE24" i="4"/>
  <c r="AC24" i="4"/>
  <c r="AF23" i="4"/>
  <c r="AE23" i="4"/>
  <c r="AC23" i="4"/>
  <c r="AF22" i="4"/>
  <c r="AE22" i="4"/>
  <c r="AC22" i="4"/>
  <c r="AF21" i="4"/>
  <c r="AE21" i="4"/>
  <c r="AC21" i="4"/>
  <c r="AF20" i="4"/>
  <c r="AE20" i="4"/>
  <c r="AC20" i="4"/>
  <c r="AF19" i="4"/>
  <c r="AE19" i="4"/>
  <c r="AC19" i="4"/>
  <c r="AF18" i="4"/>
  <c r="AE18" i="4"/>
  <c r="AC18" i="4"/>
  <c r="AF17" i="4"/>
  <c r="AE17" i="4"/>
  <c r="AC17" i="4"/>
  <c r="AF16" i="4"/>
  <c r="AE16" i="4"/>
  <c r="AC16" i="4"/>
  <c r="D16" i="4"/>
  <c r="AF12" i="4"/>
  <c r="AE12" i="4"/>
  <c r="Y25" i="4" s="1"/>
  <c r="AG25" i="4" s="1"/>
  <c r="AD12" i="4"/>
  <c r="AC12" i="4"/>
  <c r="Y24" i="4" s="1"/>
  <c r="AG24" i="4" s="1"/>
  <c r="AB12" i="4"/>
  <c r="AA12" i="4"/>
  <c r="Y23" i="4" s="1"/>
  <c r="AG23" i="4" s="1"/>
  <c r="Z12" i="4"/>
  <c r="Y12" i="4"/>
  <c r="Y22" i="4" s="1"/>
  <c r="AG22" i="4" s="1"/>
  <c r="X12" i="4"/>
  <c r="W12" i="4"/>
  <c r="Y21" i="4" s="1"/>
  <c r="AG21" i="4" s="1"/>
  <c r="V12" i="4"/>
  <c r="AF11" i="4"/>
  <c r="AE11" i="4"/>
  <c r="Y20" i="4" s="1"/>
  <c r="AG20" i="4" s="1"/>
  <c r="AD11" i="4"/>
  <c r="AC11" i="4"/>
  <c r="Y19" i="4" s="1"/>
  <c r="AG19" i="4" s="1"/>
  <c r="AB11" i="4"/>
  <c r="AA11" i="4"/>
  <c r="Y18" i="4" s="1"/>
  <c r="AG18" i="4" s="1"/>
  <c r="Z11" i="4"/>
  <c r="AJ16" i="4" s="1"/>
  <c r="Y11" i="4"/>
  <c r="Y17" i="4" s="1"/>
  <c r="AG17" i="4" s="1"/>
  <c r="X11" i="4"/>
  <c r="W11" i="4"/>
  <c r="Y16" i="4" s="1"/>
  <c r="AG16" i="4" s="1"/>
  <c r="V11" i="4"/>
  <c r="C53" i="3"/>
  <c r="C52" i="3"/>
  <c r="B51" i="3"/>
  <c r="B50" i="3"/>
  <c r="E49" i="3"/>
  <c r="D49" i="3"/>
  <c r="E48" i="3"/>
  <c r="D48" i="3"/>
  <c r="E47" i="3"/>
  <c r="D47" i="3"/>
  <c r="AG32" i="3"/>
  <c r="AF32" i="3"/>
  <c r="AC32" i="3"/>
  <c r="AA32" i="3"/>
  <c r="E56" i="3" s="1"/>
  <c r="AG31" i="3"/>
  <c r="AF31" i="3"/>
  <c r="AC31" i="3"/>
  <c r="AA31" i="3"/>
  <c r="E55" i="3" s="1"/>
  <c r="AG30" i="3"/>
  <c r="AF30" i="3"/>
  <c r="AE30" i="3"/>
  <c r="AD30" i="3"/>
  <c r="AC30" i="3"/>
  <c r="AA30" i="3"/>
  <c r="E54" i="3" s="1"/>
  <c r="U30" i="3"/>
  <c r="E46" i="3" s="1"/>
  <c r="AG29" i="3"/>
  <c r="AF29" i="3"/>
  <c r="AE29" i="3"/>
  <c r="AD29" i="3"/>
  <c r="AC29" i="3"/>
  <c r="AA29" i="3"/>
  <c r="E53" i="3" s="1"/>
  <c r="Y29" i="3"/>
  <c r="U29" i="3"/>
  <c r="E45" i="3" s="1"/>
  <c r="AG28" i="3"/>
  <c r="AF28" i="3"/>
  <c r="AE28" i="3"/>
  <c r="AD28" i="3"/>
  <c r="AC28" i="3"/>
  <c r="AA28" i="3"/>
  <c r="E52" i="3" s="1"/>
  <c r="Y28" i="3"/>
  <c r="X28" i="3"/>
  <c r="W28" i="3"/>
  <c r="V28" i="3"/>
  <c r="U28" i="3"/>
  <c r="E44" i="3" s="1"/>
  <c r="AG27" i="3"/>
  <c r="AF27" i="3"/>
  <c r="AE27" i="3"/>
  <c r="AD27" i="3"/>
  <c r="AC27" i="3"/>
  <c r="AA27" i="3"/>
  <c r="E51" i="3" s="1"/>
  <c r="Y27" i="3"/>
  <c r="W27" i="3"/>
  <c r="V27" i="3"/>
  <c r="U27" i="3"/>
  <c r="E43" i="3" s="1"/>
  <c r="AG26" i="3"/>
  <c r="AF26" i="3"/>
  <c r="AE26" i="3"/>
  <c r="AD26" i="3"/>
  <c r="AC26" i="3"/>
  <c r="AA26" i="3"/>
  <c r="E50" i="3" s="1"/>
  <c r="Y26" i="3"/>
  <c r="W26" i="3"/>
  <c r="V26" i="3"/>
  <c r="U26" i="3"/>
  <c r="E42" i="3" s="1"/>
  <c r="AB12" i="3"/>
  <c r="AB32" i="3" s="1"/>
  <c r="Z12" i="3"/>
  <c r="Z32" i="3" s="1"/>
  <c r="D56" i="3" s="1"/>
  <c r="AB11" i="3"/>
  <c r="AB31" i="3" s="1"/>
  <c r="Z11" i="3"/>
  <c r="Z31" i="3" s="1"/>
  <c r="D55" i="3" s="1"/>
  <c r="AB10" i="3"/>
  <c r="AB30" i="3" s="1"/>
  <c r="Z10" i="3"/>
  <c r="Z30" i="3" s="1"/>
  <c r="D54" i="3" s="1"/>
  <c r="T10" i="3"/>
  <c r="T30" i="3" s="1"/>
  <c r="D46" i="3" s="1"/>
  <c r="AB9" i="3"/>
  <c r="AB29" i="3" s="1"/>
  <c r="Z9" i="3"/>
  <c r="Z29" i="3" s="1"/>
  <c r="D53" i="3" s="1"/>
  <c r="X9" i="3"/>
  <c r="X29" i="3" s="1"/>
  <c r="T9" i="3"/>
  <c r="T29" i="3" s="1"/>
  <c r="D45" i="3" s="1"/>
  <c r="AB8" i="3"/>
  <c r="AB28" i="3" s="1"/>
  <c r="Z8" i="3"/>
  <c r="Z28" i="3" s="1"/>
  <c r="D52" i="3" s="1"/>
  <c r="T8" i="3"/>
  <c r="T28" i="3" s="1"/>
  <c r="D44" i="3" s="1"/>
  <c r="AB7" i="3"/>
  <c r="AB27" i="3" s="1"/>
  <c r="Z7" i="3"/>
  <c r="Z27" i="3" s="1"/>
  <c r="D51" i="3" s="1"/>
  <c r="X7" i="3"/>
  <c r="X27" i="3" s="1"/>
  <c r="T7" i="3"/>
  <c r="T27" i="3" s="1"/>
  <c r="D43" i="3" s="1"/>
  <c r="AB6" i="3"/>
  <c r="AB26" i="3" s="1"/>
  <c r="Z6" i="3"/>
  <c r="Z26" i="3" s="1"/>
  <c r="D50" i="3" s="1"/>
  <c r="X6" i="3"/>
  <c r="X26" i="3" s="1"/>
  <c r="T6" i="3"/>
  <c r="T26" i="3" s="1"/>
  <c r="D42" i="3" s="1"/>
  <c r="W56" i="2"/>
  <c r="U56" i="2"/>
  <c r="S56" i="2"/>
  <c r="Q56" i="2"/>
  <c r="O56" i="2"/>
  <c r="W54" i="2"/>
  <c r="V54" i="2"/>
  <c r="V56" i="2" s="1"/>
  <c r="U54" i="2"/>
  <c r="T54" i="2"/>
  <c r="T56" i="2" s="1"/>
  <c r="S54" i="2"/>
  <c r="R54" i="2"/>
  <c r="R56" i="2" s="1"/>
  <c r="Q54" i="2"/>
  <c r="P54" i="2"/>
  <c r="P56" i="2" s="1"/>
  <c r="O54" i="2"/>
  <c r="N54" i="2"/>
  <c r="N56" i="2" s="1"/>
  <c r="M54" i="2"/>
  <c r="W53" i="2"/>
  <c r="V53" i="2"/>
  <c r="V55" i="2" s="1"/>
  <c r="U53" i="2"/>
  <c r="T53" i="2"/>
  <c r="T55" i="2" s="1"/>
  <c r="S53" i="2"/>
  <c r="R53" i="2"/>
  <c r="R55" i="2" s="1"/>
  <c r="Q53" i="2"/>
  <c r="P53" i="2"/>
  <c r="P55" i="2" s="1"/>
  <c r="O53" i="2"/>
  <c r="N53" i="2"/>
  <c r="N55" i="2" s="1"/>
  <c r="M53" i="2"/>
  <c r="O55" i="2" l="1"/>
  <c r="Q55" i="2"/>
  <c r="S55" i="2"/>
  <c r="U55" i="2"/>
  <c r="W55" i="2"/>
  <c r="W13" i="4"/>
  <c r="Y13" i="4"/>
  <c r="AA13" i="4"/>
  <c r="AC13" i="4"/>
  <c r="AE13" i="4"/>
  <c r="W14" i="4"/>
  <c r="Y14" i="4"/>
  <c r="AA14" i="4"/>
  <c r="AC14" i="4"/>
  <c r="AE14" i="4"/>
  <c r="X16" i="4"/>
  <c r="AB16" i="4" s="1"/>
  <c r="Z16" i="4"/>
  <c r="X17" i="4"/>
  <c r="AB17" i="4" s="1"/>
  <c r="Z17" i="4"/>
  <c r="X18" i="4"/>
  <c r="AB18" i="4" s="1"/>
  <c r="Z18" i="4"/>
  <c r="X19" i="4"/>
  <c r="AB19" i="4" s="1"/>
  <c r="Z19" i="4"/>
  <c r="X20" i="4"/>
  <c r="AB20" i="4" s="1"/>
  <c r="Z20" i="4"/>
  <c r="X21" i="4"/>
  <c r="AB21" i="4" s="1"/>
  <c r="Z21" i="4"/>
  <c r="X22" i="4"/>
  <c r="AB22" i="4" s="1"/>
  <c r="Z22" i="4"/>
  <c r="X23" i="4"/>
  <c r="AB23" i="4" s="1"/>
  <c r="Z23" i="4"/>
  <c r="X24" i="4"/>
  <c r="AB24" i="4" s="1"/>
  <c r="Z24" i="4"/>
  <c r="X25" i="4"/>
  <c r="AB25" i="4" s="1"/>
  <c r="Z25" i="4"/>
  <c r="X13" i="4"/>
  <c r="Z13" i="4"/>
  <c r="AB13" i="4"/>
  <c r="AD13" i="4"/>
  <c r="AF13" i="4"/>
  <c r="X14" i="4"/>
  <c r="Z14" i="4"/>
  <c r="AB14" i="4"/>
  <c r="AD14" i="4"/>
  <c r="AF14" i="4"/>
  <c r="W16" i="4"/>
  <c r="AA16" i="4" s="1"/>
  <c r="AI16" i="4"/>
  <c r="W17" i="4"/>
  <c r="AA17" i="4" s="1"/>
  <c r="W18" i="4"/>
  <c r="AA18" i="4" s="1"/>
  <c r="W19" i="4"/>
  <c r="AA19" i="4" s="1"/>
  <c r="W20" i="4"/>
  <c r="AA20" i="4" s="1"/>
  <c r="W21" i="4"/>
  <c r="AA21" i="4" s="1"/>
  <c r="W22" i="4"/>
  <c r="AA22" i="4" s="1"/>
  <c r="W23" i="4"/>
  <c r="AA23" i="4" s="1"/>
  <c r="W24" i="4"/>
  <c r="AA24" i="4" s="1"/>
  <c r="W25" i="4"/>
  <c r="AA25" i="4" s="1"/>
</calcChain>
</file>

<file path=xl/sharedStrings.xml><?xml version="1.0" encoding="utf-8"?>
<sst xmlns="http://schemas.openxmlformats.org/spreadsheetml/2006/main" count="2221" uniqueCount="465">
  <si>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</si>
  <si>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</si>
  <si>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</si>
  <si>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</si>
  <si>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</si>
  <si>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</si>
  <si>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</si>
  <si>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</si>
  <si>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</si>
  <si>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</si>
  <si>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</si>
  <si>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</si>
  <si>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Item</t>
  </si>
  <si>
    <t>Percent</t>
  </si>
  <si>
    <t>i</t>
  </si>
  <si>
    <t>itemtext</t>
  </si>
  <si>
    <t>I am given a real opportunity to improve my skills in my organization.</t>
  </si>
  <si>
    <t>LEADERS LEAD</t>
  </si>
  <si>
    <t>I feel encouraged to come up with new and better ways of doing things.</t>
  </si>
  <si>
    <t>SUPERVISORS</t>
  </si>
  <si>
    <t>My work gives me a feeling of personal accomplishment.</t>
  </si>
  <si>
    <t>INTRINSIC WORK EXPERIENCE</t>
  </si>
  <si>
    <t>Highest % Positive</t>
  </si>
  <si>
    <t>Highest % Positive Items</t>
  </si>
  <si>
    <t>I know what is expected of me on the job.</t>
  </si>
  <si>
    <t>Lowest % Positive</t>
  </si>
  <si>
    <t>Lowest % Positive Items</t>
  </si>
  <si>
    <t>Highest % Negative</t>
  </si>
  <si>
    <t>Highest % Negative Items</t>
  </si>
  <si>
    <t>Lowest % Negative</t>
  </si>
  <si>
    <t>Lowest % Negative Items</t>
  </si>
  <si>
    <t>Highest % Strongly Agree</t>
  </si>
  <si>
    <t>Highest % Strongly Agree Items</t>
  </si>
  <si>
    <t>My workload is reasonable.</t>
  </si>
  <si>
    <t>Highest % Strongly Disagree</t>
  </si>
  <si>
    <t>Highest % Strongly Disagree Items</t>
  </si>
  <si>
    <t>My talents are used well in the workplace.</t>
  </si>
  <si>
    <t>Top Chart</t>
  </si>
  <si>
    <t>I know how my work relates to the agency's goals.</t>
  </si>
  <si>
    <t>Bottom Chart</t>
  </si>
  <si>
    <t>I can disclose a suspected violation of any law, rule or regulation without fear of reprisal.</t>
  </si>
  <si>
    <t>The people I work with cooperate to get the job done.</t>
  </si>
  <si>
    <t>In my work unit, steps are taken to deal with a poor performer who cannot or will not improve.</t>
  </si>
  <si>
    <t>In my work unit, differences in performance are recognized in a meaningful way.</t>
  </si>
  <si>
    <t>My work unit has the job-relevant knowledge and skills necessary to accomplish organizational goals.</t>
  </si>
  <si>
    <t>Employees are recognized for providing high quality products and services.</t>
  </si>
  <si>
    <t>Employees are protected from health and safety hazards on the job.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</si>
  <si>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</si>
  <si>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</si>
  <si>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</si>
  <si>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supports my need to balance work and other life issues.</t>
  </si>
  <si>
    <t>My supervisor is committed to a workforce representative of all segments of society.</t>
  </si>
  <si>
    <t>Supervisors in my work unit support employee development.</t>
  </si>
  <si>
    <t>My supervisor listens to what I have to say.</t>
  </si>
  <si>
    <t>My supervisor treats me with respect.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</si>
  <si>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</si>
  <si>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</si>
  <si>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</si>
  <si>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</si>
  <si>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Managers communicate the goals of the organization.</t>
  </si>
  <si>
    <t>Overall, how good a job do you feel is being done by the manager directly above your immediate supervisor?</t>
  </si>
  <si>
    <t>I have a high level of respect for my organization's senior leaders.</t>
  </si>
  <si>
    <t>How satisfied are you with the information you receive from management on what's going on in your organization?</t>
  </si>
  <si>
    <t>How satisfied are you with the recognition you receive for doing a good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</si>
  <si>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</si>
  <si>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</si>
  <si>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</si>
  <si>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Female</t>
  </si>
  <si>
    <t>Hisp</t>
  </si>
  <si>
    <t>HQ</t>
  </si>
  <si>
    <t>Military</t>
  </si>
  <si>
    <t>Retire</t>
  </si>
  <si>
    <t>Leaving</t>
  </si>
  <si>
    <t>Percentage</t>
  </si>
  <si>
    <t>Label</t>
  </si>
  <si>
    <t>Age Group</t>
  </si>
  <si>
    <t>Racial Category</t>
  </si>
  <si>
    <t>Education</t>
  </si>
  <si>
    <t>Agency Tenure</t>
  </si>
  <si>
    <t>Federal Government Tenure</t>
  </si>
  <si>
    <t>Supervisory Status</t>
  </si>
  <si>
    <t>Pay Category/Grade</t>
  </si>
  <si>
    <t>Federal Tenure</t>
  </si>
  <si>
    <t>Increases2</t>
  </si>
  <si>
    <t>Decreases2</t>
  </si>
  <si>
    <t>Increases3</t>
  </si>
  <si>
    <t>Decreases3</t>
  </si>
  <si>
    <t>Diff2</t>
  </si>
  <si>
    <t>Diff3</t>
  </si>
  <si>
    <t>Diff4</t>
  </si>
  <si>
    <t>Largest Increases since 2018</t>
  </si>
  <si>
    <t>Largest Increases in Percent Positive since 2018</t>
  </si>
  <si>
    <t>Largest Increases since 2017</t>
  </si>
  <si>
    <t>Largest Increases in Percent Positive since 2017</t>
  </si>
  <si>
    <t>Largest Decreases since 2018</t>
  </si>
  <si>
    <t>Largest Decreases in Percent Positive since 2018</t>
  </si>
  <si>
    <t>Largest Decreases since 2017</t>
  </si>
  <si>
    <t>Largest Decreases in Percent Positive since 2017</t>
  </si>
  <si>
    <t>Pos2017</t>
  </si>
  <si>
    <t>Pos2018</t>
  </si>
  <si>
    <t>Managers promote communication among different work units (for example, about projects, goals, needed resources).</t>
  </si>
  <si>
    <t>Pos2019</t>
  </si>
  <si>
    <t>Senior leaders demonstrate support for Work-Life programs.</t>
  </si>
  <si>
    <t>Bachelor's Degree</t>
  </si>
  <si>
    <t>2020 ENGAGEMENT INDEX</t>
  </si>
  <si>
    <t>Pos2020</t>
  </si>
  <si>
    <t>Largest Increases since 2019</t>
  </si>
  <si>
    <t>Largest Increases in Percent Positive since 2019</t>
  </si>
  <si>
    <t>Largest Decreases since 2019</t>
  </si>
  <si>
    <t>Largest Decreases in Percent Positive since 2019</t>
  </si>
  <si>
    <t>Department of the Treasury</t>
  </si>
  <si>
    <t>CENSUS</t>
  </si>
  <si>
    <t>Sept 15 - Oct 27, 2020</t>
  </si>
  <si>
    <t>How satisfied are you with your involvement in decisions that affect your work?</t>
  </si>
  <si>
    <t>White</t>
  </si>
  <si>
    <t>Senior Leader</t>
  </si>
  <si>
    <t>Federal Wage System</t>
  </si>
  <si>
    <t>Black or African American</t>
  </si>
  <si>
    <t>Manager</t>
  </si>
  <si>
    <t>GS 1-6</t>
  </si>
  <si>
    <t>All other races</t>
  </si>
  <si>
    <t>Supervisor</t>
  </si>
  <si>
    <t>GS 7-12</t>
  </si>
  <si>
    <t>Team Leader</t>
  </si>
  <si>
    <t>GS 13-15</t>
  </si>
  <si>
    <t>Non-Supervisor</t>
  </si>
  <si>
    <t>Senior Executive Service</t>
  </si>
  <si>
    <t>Senior Level (SL) or Scientific or Professional (ST)</t>
  </si>
  <si>
    <t>Other</t>
  </si>
  <si>
    <t>Increases4</t>
  </si>
  <si>
    <t>Decreases4</t>
  </si>
  <si>
    <t>Response
Type</t>
  </si>
  <si>
    <t>Item Text</t>
  </si>
  <si>
    <t>Percent
Positive
%</t>
  </si>
  <si>
    <t>Strongly
Agree/ Very
Good/ Very
Satisfied
%</t>
  </si>
  <si>
    <t>Agree/
Good/
Satisfied
%</t>
  </si>
  <si>
    <t>Neither
Agree nor
Disagree/
Fair/ Neither
Satisfied 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</si>
  <si>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</si>
  <si>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</si>
  <si>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</si>
  <si>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</si>
  <si>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</si>
  <si>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</si>
  <si>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</si>
  <si>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</si>
  <si>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</si>
  <si>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
N</t>
  </si>
  <si>
    <t>Agree-disagree</t>
  </si>
  <si>
    <t>*I am given a real opportunity to improve my skills in my organization.</t>
  </si>
  <si>
    <t>N/A</t>
  </si>
  <si>
    <t>*My workload is reasonable.</t>
  </si>
  <si>
    <t>*My talents are used well in the workplace.</t>
  </si>
  <si>
    <t>*I know how my work relates to the agency's goals.</t>
  </si>
  <si>
    <t>*I can disclose a suspected violation of any law, rule or regulation without fear of reprisal.</t>
  </si>
  <si>
    <t>*The people I work with cooperate to get the job done.</t>
  </si>
  <si>
    <t>*In my work unit, differences in performance are recognized in a meaningful way.</t>
  </si>
  <si>
    <t>*My work unit has the job-relevant knowledge and skills necessary to accomplish organizational goals.</t>
  </si>
  <si>
    <t>*I recommend my organization as a good place to work.</t>
  </si>
  <si>
    <t>*I believe the results of this survey will be used to make my agency a better place to work.</t>
  </si>
  <si>
    <t>Good-poor</t>
  </si>
  <si>
    <t>*Managers communicate the goals of the organization.</t>
  </si>
  <si>
    <t>Satisfied-dissatisfied</t>
  </si>
  <si>
    <t>*How satisfied are you with your involvement in decisions that affect your work?</t>
  </si>
  <si>
    <t>*How satisfied are you with the information you receive from management on what's going on 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</si>
  <si>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</si>
  <si>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</si>
  <si>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</si>
  <si>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</si>
  <si>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"Do Not Know"</t>
    </r>
  </si>
  <si>
    <r>
      <rPr>
        <sz val="10"/>
        <color rgb="FF000000"/>
        <rFont val="Calibri"/>
      </rPr>
      <t>The Dashboard only includes items 1-38, excluding item 11.</t>
    </r>
  </si>
  <si>
    <r>
      <rPr>
        <sz val="10"/>
        <color rgb="FF000000"/>
        <rFont val="Calibri"/>
      </rPr>
      <t>Percentages are weighted to represent the Agency's population.</t>
    </r>
  </si>
  <si>
    <r>
      <rPr>
        <sz val="10"/>
        <color rgb="FF000000"/>
        <rFont val="Calibri"/>
      </rPr>
      <t>When responding to the Core OPM FEVS questions 1 through 38, respondents were asked to share their work experiences since the last OPM FEVS administration (June 2019).</t>
    </r>
  </si>
  <si>
    <r>
      <rPr>
        <sz val="10"/>
        <color rgb="FF000000"/>
        <rFont val="Calibri"/>
      </rPr>
      <t>Source: 2020 OPM Federal Employee Viewpoint Survey</t>
    </r>
  </si>
  <si>
    <t>11. In my work unit poor performers usually:</t>
  </si>
  <si>
    <t>N</t>
  </si>
  <si>
    <t>%</t>
  </si>
  <si>
    <t xml:space="preserve"> </t>
  </si>
  <si>
    <t>Remain in the work unit and improve their performance over time</t>
  </si>
  <si>
    <t>Remain in the work unit and continue to underperform</t>
  </si>
  <si>
    <t>Leave the work unit - removed or transferred</t>
  </si>
  <si>
    <t>Leave the work unit - quit</t>
  </si>
  <si>
    <t>There are no poor performers in my work unit</t>
  </si>
  <si>
    <t>Item Response Total</t>
  </si>
  <si>
    <t>Do Not Know</t>
  </si>
  <si>
    <t>--</t>
  </si>
  <si>
    <t>Total</t>
  </si>
  <si>
    <r>
      <rPr>
        <sz val="10"/>
        <color rgb="FF000000"/>
        <rFont val="Calibri"/>
      </rPr>
      <t>"Do Not Know" responses are not included in percentage calculations.</t>
    </r>
  </si>
  <si>
    <r>
      <rPr>
        <sz val="10"/>
        <color rgb="FF000000"/>
        <rFont val="Calibri"/>
      </rPr>
      <t>The rows above do not include results for any year when there were fewer than 4 completed surveys.</t>
    </r>
  </si>
  <si>
    <t>Year</t>
  </si>
  <si>
    <t>*I know how my work relates to the agency's goals and priorities.</t>
  </si>
  <si>
    <t>*The workforce has the job-relevant knowledge and skills necessary to accomplish organizational goals.</t>
  </si>
  <si>
    <t>*Managers communicate the goals and priorities of the organization.</t>
  </si>
  <si>
    <r>
      <rPr>
        <sz val="10"/>
        <color rgb="FF000000"/>
        <rFont val="Calibri"/>
      </rPr>
      <t>The Trending Dashboard only includes items 1-38, excluding item 11.</t>
    </r>
  </si>
  <si>
    <t>COVID-19 Pandemic: Background</t>
  </si>
  <si>
    <t>When responding to questions 39 through 57, respondents were asked to think of their experiences during the COVID-19 pandemic (for much of the Federal government, pandemic responses began in March 2020), unless otherwise instructed.</t>
  </si>
  <si>
    <r>
      <t xml:space="preserve">39. During the COVID-19 pandemic, on average what percentage of your work time have you been </t>
    </r>
    <r>
      <rPr>
        <b/>
        <i/>
        <u/>
        <sz val="11"/>
        <color rgb="FF000000"/>
        <rFont val="calibri"/>
      </rPr>
      <t>physically present</t>
    </r>
    <r>
      <rPr>
        <b/>
        <i/>
        <sz val="11"/>
        <color rgb="FF000000"/>
        <rFont val="Calibri"/>
      </rPr>
      <t xml:space="preserve"> at your agency worksite (including headquarters, bureau, field offices, etc.)?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</si>
  <si>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100% of my work time</t>
  </si>
  <si>
    <t>At least 75% but less than 100%</t>
  </si>
  <si>
    <t>At least 50% but less than 75%</t>
  </si>
  <si>
    <t>At least 25% but less than 50%</t>
  </si>
  <si>
    <t>Less than 25%</t>
  </si>
  <si>
    <t>I have not been physically present at my agency worksite during the pandemic</t>
  </si>
  <si>
    <r>
      <t xml:space="preserve">41. What type(s) of leave have you used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pandemic? (Mark all that apply)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</si>
  <si>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Leave under the Emergency Paid Sick Leave Act (part of the Families First Coronavirus Response Act)</t>
  </si>
  <si>
    <t>Annual leave</t>
  </si>
  <si>
    <t>Sick leave</t>
  </si>
  <si>
    <t>Weather and safety leave</t>
  </si>
  <si>
    <t>Administrative leave</t>
  </si>
  <si>
    <t>Other paid leave (e.g., comp time, credit hours)</t>
  </si>
  <si>
    <t>Unpaid leave (e.g., LWOP)</t>
  </si>
  <si>
    <t>I have not used leave because of the pandemic</t>
  </si>
  <si>
    <t>Total (percents will add to more than 100% because respondents could choose more than one response option)</t>
  </si>
  <si>
    <r>
      <t xml:space="preserve">If the response to item 41 was "I have not used leave because of the pandemic", item 41a was skipped.
41a. During the COVID-19 pandemic, what percentage of your total work time have you used leave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pandemic?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</si>
  <si>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42. How have you changed your participation in alternative work schedules (AWS)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COVID-19 pandemic?  Examples of AWS include compressed work and flexible work schedule.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</si>
  <si>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1"/>
        <color rgb="FF000000"/>
        <rFont val="calibri"/>
      </rPr>
      <t>I began</t>
    </r>
    <r>
      <rPr>
        <sz val="11"/>
        <color rgb="FF000000"/>
        <rFont val="Calibri"/>
      </rPr>
      <t xml:space="preserve"> an alternative work schedule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</si>
  <si>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1"/>
        <color rgb="FF000000"/>
        <rFont val="calibri"/>
      </rPr>
      <t>I ended</t>
    </r>
    <r>
      <rPr>
        <sz val="11"/>
        <color rgb="FF000000"/>
        <rFont val="Calibri"/>
      </rPr>
      <t xml:space="preserve"> my usual alternative work schedule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</si>
  <si>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 change because of the pandemic</t>
  </si>
  <si>
    <t>Percentages are weighted to represent the Agency's population.</t>
  </si>
  <si>
    <t>Source: 2020 OPM Federal Employee Viewpoint Survey</t>
  </si>
  <si>
    <t>COVID-19 Pandemic: Telework</t>
  </si>
  <si>
    <r>
      <t xml:space="preserve">40. Please select the response that BEST describes </t>
    </r>
    <r>
      <rPr>
        <b/>
        <i/>
        <u/>
        <sz val="11"/>
        <color rgb="FF000000"/>
        <rFont val="calibri"/>
      </rPr>
      <t>your teleworking schedule</t>
    </r>
    <r>
      <rPr>
        <b/>
        <i/>
        <sz val="11"/>
        <color rgb="FF000000"/>
        <rFont val="Calibri"/>
      </rPr>
      <t xml:space="preserve"> (1) BEFORE the COVID-19 pandemic, (2) DURING the PEAK of the pandemic, and (3) AS OF the date you responded to this survey.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</si>
  <si>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BEFORE the COVID-19 pandemic</t>
  </si>
  <si>
    <t xml:space="preserve">DURING the PEAK of the
pandemic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</si>
  <si>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 OF the date you responded
to this survey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</si>
  <si>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 telework every work day</t>
  </si>
  <si>
    <t>I telework 3 or 4 days per week</t>
  </si>
  <si>
    <t>I telework 1 or 2 days per week</t>
  </si>
  <si>
    <t>I telework, but only about 1 or 2 days per month</t>
  </si>
  <si>
    <t>I telework very infrequently, on an unscheduled or short-term basis</t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</si>
  <si>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I have to be physically present on the job (e.g., law enforcement officers, TSA agent, border patrol agent, security personnel)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</si>
  <si>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of technical issues (e.g., connectivity, inadequate equipment) that prevent me from teleworking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</si>
  <si>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I did not receive approval to do so, even though I have the kind of job where I can telework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</si>
  <si>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I choose not to telework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</si>
  <si>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Telework Trends</t>
  </si>
  <si>
    <r>
      <t xml:space="preserve">40. Please select the response that BEST describes </t>
    </r>
    <r>
      <rPr>
        <b/>
        <i/>
        <u/>
        <sz val="11"/>
        <color rgb="FF000000"/>
        <rFont val="calibri"/>
      </rPr>
      <t>your teleworking schedule</t>
    </r>
    <r>
      <rPr>
        <b/>
        <i/>
        <sz val="11"/>
        <color rgb="FF000000"/>
        <rFont val="Calibri"/>
      </rPr>
      <t>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</si>
  <si>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2020
(BEFORE the COVID-19
pandemic)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</si>
  <si>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Trending for the Telework (Q40) question is based on the "BEFORE the COVID-19 pandemic" responses.</t>
  </si>
  <si>
    <t>The rows above do not include results for any year when there were fewer than 4 completed surveys.</t>
  </si>
  <si>
    <t>COVID-19 Pandemic: Employee Supports</t>
  </si>
  <si>
    <r>
      <t xml:space="preserve">43. How has your organization supported your </t>
    </r>
    <r>
      <rPr>
        <b/>
        <i/>
        <u/>
        <sz val="11"/>
        <color rgb="FF000000"/>
        <rFont val="calibri"/>
      </rPr>
      <t>well-being</t>
    </r>
    <r>
      <rPr>
        <b/>
        <i/>
        <sz val="11"/>
        <color rgb="FF000000"/>
        <rFont val="Calibri"/>
      </rPr>
      <t xml:space="preserve"> needs during the COVID-19 pandemic?
</t>
    </r>
    <r>
      <rPr>
        <b/>
        <i/>
        <sz val="11"/>
        <color rgb="FF000000"/>
        <rFont val="Calibri"/>
      </rPr>
      <t xml:space="preserve">For each support listed, choose the best response from one of the 3 columns: (1) those supports you needed and have been </t>
    </r>
    <r>
      <rPr>
        <b/>
        <i/>
        <u/>
        <sz val="11"/>
        <color rgb="FF000000"/>
        <rFont val="calibri"/>
      </rPr>
      <t>available</t>
    </r>
    <r>
      <rPr>
        <b/>
        <i/>
        <sz val="11"/>
        <color rgb="FF000000"/>
        <rFont val="Calibri"/>
      </rPr>
      <t xml:space="preserve"> to you, (2) those needed but </t>
    </r>
    <r>
      <rPr>
        <b/>
        <i/>
        <u/>
        <sz val="11"/>
        <color rgb="FF000000"/>
        <rFont val="calibri"/>
      </rPr>
      <t>not available</t>
    </r>
    <r>
      <rPr>
        <b/>
        <i/>
        <sz val="11"/>
        <color rgb="FF000000"/>
        <rFont val="Calibri"/>
      </rPr>
      <t xml:space="preserve"> to you, and (3) those supports you have not currently needed.</t>
    </r>
    <r>
      <rPr>
        <b/>
        <i/>
        <sz val="11"/>
        <color rgb="FF000000"/>
        <rFont val="Calibri"/>
      </rPr>
      <t xml:space="preserve">                                                                          </t>
    </r>
  </si>
  <si>
    <r>
      <t xml:space="preserve">Needed and </t>
    </r>
    <r>
      <rPr>
        <b/>
        <u/>
        <sz val="11"/>
        <color rgb="FF000000"/>
        <rFont val="calibri"/>
      </rPr>
      <t>available</t>
    </r>
    <r>
      <rPr>
        <b/>
        <sz val="11"/>
        <color rgb="FF000000"/>
        <rFont val="Calibri"/>
      </rPr>
      <t xml:space="preserve"> to me</t>
    </r>
    <r>
      <rPr>
        <b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</si>
  <si>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Needed, but </t>
    </r>
    <r>
      <rPr>
        <b/>
        <u/>
        <sz val="11"/>
        <color rgb="FF000000"/>
        <rFont val="calibri"/>
      </rPr>
      <t>not available</t>
    </r>
    <r>
      <rPr>
        <b/>
        <sz val="11"/>
        <color rgb="FF000000"/>
        <rFont val="Calibri"/>
      </rPr>
      <t xml:space="preserve"> 
</t>
    </r>
    <r>
      <rPr>
        <b/>
        <sz val="11"/>
        <color rgb="FF000000"/>
        <rFont val="Calibri"/>
      </rPr>
      <t>to me</t>
    </r>
    <r>
      <rPr>
        <b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</si>
  <si>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Not needed by me now</t>
  </si>
  <si>
    <t>43A. Expanded telework</t>
  </si>
  <si>
    <t>43B. Expanded work schedule flexibilities</t>
  </si>
  <si>
    <t>43C. Expanded leave policies</t>
  </si>
  <si>
    <t>43D. More information on available leave policies</t>
  </si>
  <si>
    <t>43E. Expanded mental health resources (e.g., assistance with stress of COVID-19)</t>
  </si>
  <si>
    <t>43F. Expanded physical health resources (e.g., temperature checks, COVID-19 illness testing) at my agency worksite</t>
  </si>
  <si>
    <t>43G. Timely communication about possible COVID-19 illness at my agency worksite</t>
  </si>
  <si>
    <t>43H. Protection of employees at higher risk for severe illness from COVID-19 exposure</t>
  </si>
  <si>
    <t>43I. Limited access to my agency worksite buildings/facilities (e.g., closures, limits on activities with external visitors/groups)</t>
  </si>
  <si>
    <t>43J. Social distancing (e.g., limits on group size, reduced access to common areas) in my agency worksite</t>
  </si>
  <si>
    <t>43K. Rearranged workspaces to maximize social distancing</t>
  </si>
  <si>
    <t>43L. Encouraged use of personal protective equipment (PPE) or other safety equipment in my agency worksite</t>
  </si>
  <si>
    <t>43M. Cleaning and sanitizing supplies available to reduce risk of illness in my agency worksite</t>
  </si>
  <si>
    <t>43N. Training for all employees on health and safety protocols</t>
  </si>
  <si>
    <t>44. During the COVID-19 pandemic my organization's senior leaders have demonstrated commitment to employee health and safety.</t>
  </si>
  <si>
    <t>Strongly Agree</t>
  </si>
  <si>
    <t>Agree</t>
  </si>
  <si>
    <t>Neither Agree nor Disagree</t>
  </si>
  <si>
    <t>Disagree</t>
  </si>
  <si>
    <t>Strongly Disagree</t>
  </si>
  <si>
    <t>No Basis to Judge</t>
  </si>
  <si>
    <t>45. During the COVID-19 pandemic my organization's senior leaders have supported policies and procedures to protect employee health and safety.</t>
  </si>
  <si>
    <t>46. During the COVID-19 pandemic my organization's senior leaders have provided effective communications about the pandemic.</t>
  </si>
  <si>
    <t>47. During the COVID-19 pandemic my supervisor has shown concern for my health and safety.</t>
  </si>
  <si>
    <t>48. During the COVID-19 pandemic my supervisor has supported my efforts to stay healthy and safe while working.</t>
  </si>
  <si>
    <t>49. During the COVID-19 pandemic my supervisor has created an environment where I can voice my concerns about staying healthy and safe.</t>
  </si>
  <si>
    <t>"No Basis to Judge" responses are not included in percentage calculations.</t>
  </si>
  <si>
    <t>COVID-19 Pandemic: Work Supports</t>
  </si>
  <si>
    <r>
      <t xml:space="preserve">50. How has your organization supported </t>
    </r>
    <r>
      <rPr>
        <b/>
        <i/>
        <u/>
        <sz val="11"/>
        <color rgb="FF000000"/>
        <rFont val="calibri"/>
      </rPr>
      <t>your work</t>
    </r>
    <r>
      <rPr>
        <b/>
        <i/>
        <sz val="11"/>
        <color rgb="FF000000"/>
        <rFont val="Calibri"/>
      </rPr>
      <t xml:space="preserve"> during the COVID-19 pandemic?
</t>
    </r>
    <r>
      <rPr>
        <b/>
        <i/>
        <sz val="11"/>
        <color rgb="FF000000"/>
        <rFont val="Calibri"/>
      </rPr>
      <t xml:space="preserve">For each support listed choose the best response from one of the 3 columns: (1) those supports you needed and have been </t>
    </r>
    <r>
      <rPr>
        <b/>
        <i/>
        <u/>
        <sz val="11"/>
        <color rgb="FF000000"/>
        <rFont val="calibri"/>
      </rPr>
      <t>available</t>
    </r>
    <r>
      <rPr>
        <b/>
        <i/>
        <sz val="11"/>
        <color rgb="FF000000"/>
        <rFont val="Calibri"/>
      </rPr>
      <t xml:space="preserve"> to you, (2) those you needed but </t>
    </r>
    <r>
      <rPr>
        <b/>
        <i/>
        <u/>
        <sz val="11"/>
        <color rgb="FF000000"/>
        <rFont val="calibri"/>
      </rPr>
      <t>not available</t>
    </r>
    <r>
      <rPr>
        <b/>
        <i/>
        <sz val="11"/>
        <color rgb="FF000000"/>
        <rFont val="Calibri"/>
      </rPr>
      <t xml:space="preserve"> to you, and (3) those supports you have not currently needed.</t>
    </r>
    <r>
      <rPr>
        <b/>
        <i/>
        <sz val="11"/>
        <color rgb="FF000000"/>
        <rFont val="Calibri"/>
      </rPr>
      <t xml:space="preserve">                                                                                   </t>
    </r>
  </si>
  <si>
    <t>50A. Consistent communication (e.g., organizational status, what to expect)</t>
  </si>
  <si>
    <t>50B. Training for new/changed work or work processes because of the pandemic</t>
  </si>
  <si>
    <t>50C. Reallocation of resources (e.g., staffing, budget, materials) to support changes in work because of the pandemic</t>
  </si>
  <si>
    <t>50D. Help with commuting issues (e.g., alternatives to public transportation)</t>
  </si>
  <si>
    <t>50E. Options for work/business travel</t>
  </si>
  <si>
    <t>50F. Information on remote work policies, procedures, and expectations</t>
  </si>
  <si>
    <t>50G. Training on how to work remotely</t>
  </si>
  <si>
    <t>50H. Equipment and technology for working remotely (e.g., laptops, cell phone, Information Technology infrastructure)</t>
  </si>
  <si>
    <t>50I. Expanded collaboration tools (e.g., video conferencing, teleconferencing)</t>
  </si>
  <si>
    <t>50J. Expanded training for using remote work tools and applications</t>
  </si>
  <si>
    <t>50K. Expanded Information Technology (IT) support</t>
  </si>
  <si>
    <t>50L. Information about data security policies and procedures</t>
  </si>
  <si>
    <t>51. Does the type of work you do require you to be physically present at a worksite (e.g., border patrol agent, TSA agent, meat inspector)?</t>
  </si>
  <si>
    <t>Yes</t>
  </si>
  <si>
    <t>No</t>
  </si>
  <si>
    <t>COVID-19 Pandemic: Work Effects</t>
  </si>
  <si>
    <t>52. How disruptive has the COVID-19 pandemic been to your ability to do your work?</t>
  </si>
  <si>
    <t>Extremely</t>
  </si>
  <si>
    <t>Very</t>
  </si>
  <si>
    <t>Somewhat</t>
  </si>
  <si>
    <t>Slightly</t>
  </si>
  <si>
    <t>Not at All</t>
  </si>
  <si>
    <t>53. How have your work demands changed because of the COVID-19 pandemic?</t>
  </si>
  <si>
    <t>Greatly Increased</t>
  </si>
  <si>
    <t>Somewhat Increased</t>
  </si>
  <si>
    <t>About the Same</t>
  </si>
  <si>
    <t>Somewhat Decreased</t>
  </si>
  <si>
    <t>Greatly Decreased</t>
  </si>
  <si>
    <t>56. In the phased return of employees to the agency worksite (i.e., opening up government), my organization has made employee safety a top priority.</t>
  </si>
  <si>
    <t>57. Based on my organization's handling of the COVID-19 pandemic, I believe my organization will respond effectively to future emergencies.</t>
  </si>
  <si>
    <r>
      <t xml:space="preserve">Please answer the question below thinking of your experiences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 (for much of the Federal government, pandemic responses began in March 2020).</t>
    </r>
    <r>
      <rPr>
        <b/>
        <i/>
        <sz val="11"/>
        <color rgb="FF000000"/>
        <rFont val="Calibri"/>
      </rPr>
      <t xml:space="preserve">                            </t>
    </r>
  </si>
  <si>
    <r>
      <t xml:space="preserve">54A.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met the needs of our customers.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</si>
  <si>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Always</t>
  </si>
  <si>
    <t>Most of the Time</t>
  </si>
  <si>
    <t>Sometimes</t>
  </si>
  <si>
    <t>Rarely</t>
  </si>
  <si>
    <t>Never</t>
  </si>
  <si>
    <r>
      <t xml:space="preserve">54B.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contributed positively to my agency's performance.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</si>
  <si>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54C.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produced high-quality work.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</si>
  <si>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54D.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adapted to changing priorities.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</si>
  <si>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54E.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successfully collaborated.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</si>
  <si>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54F.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achieved our goals.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</si>
  <si>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Please answer the question below thinking of your experiences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 (for much of the Federal government, pandemic responses began in March 2020).</t>
    </r>
    <r>
      <rPr>
        <b/>
        <i/>
        <sz val="11"/>
        <color rgb="FF000000"/>
        <rFont val="Calibri"/>
      </rPr>
      <t xml:space="preserve">                              </t>
    </r>
  </si>
  <si>
    <r>
      <t xml:space="preserve">55A.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met the needs of our customers.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</si>
  <si>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55B.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contributed positively to my agency's performance.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</si>
  <si>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55C.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produced high-quality work.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</si>
  <si>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55D.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adapted to changing priorities.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</si>
  <si>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55E.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successfully collaborated.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</si>
  <si>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55F.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achieved our goals.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</si>
  <si>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When responding to questions 58 through 64 about Work-Life programs, respondents were asked to share their work experiences since the last OPM FEVS administration (June 2019).</t>
  </si>
  <si>
    <t>58. How satisfied are you with the Telework program in your agency?</t>
  </si>
  <si>
    <t>Satisfaction
%</t>
  </si>
  <si>
    <t>All Response
Options %</t>
  </si>
  <si>
    <t>Very Satisfied</t>
  </si>
  <si>
    <t>Satisfied</t>
  </si>
  <si>
    <t>Neither Satisfied nor Dissatisfied</t>
  </si>
  <si>
    <t>Dissatisfied</t>
  </si>
  <si>
    <t>Very Dissatisfied</t>
  </si>
  <si>
    <t>I choose not to participate in this program</t>
  </si>
  <si>
    <t>This program is not available to me</t>
  </si>
  <si>
    <t>I am unaware of this program</t>
  </si>
  <si>
    <t>59. Which of the following Work-Life programs have you participated in or used at your agency within the last 12 months? (Mark all that apply)</t>
  </si>
  <si>
    <t>Alternative Work Schedules (for example, compressed work schedule, flexible work schedule)</t>
  </si>
  <si>
    <t>Health and Wellness Programs (for example, onsite exercise, flu vaccination, medical screening, CPR training, Health and wellness fair)</t>
  </si>
  <si>
    <t>Employee Assistance Program - EAP (for example, short-term counseling, referral services, legal services, education services)</t>
  </si>
  <si>
    <t>Child Care Programs (for example, child care center, parenting classes and support groups, back-up care, subsidy, flexible spending account)</t>
  </si>
  <si>
    <t>Elder Care Programs (for example, elder/adult care, support groups, resources)</t>
  </si>
  <si>
    <t>None listed above</t>
  </si>
  <si>
    <t>Note: This item was not in the 2018 OPM FEVS.</t>
  </si>
  <si>
    <t>60. How satisfied are you with the following Work-Life programs in your agency? Alternative Work Schedules (for example, compressed work schedule, flexible work schedule)</t>
  </si>
  <si>
    <t>I choose not to participate in these programs</t>
  </si>
  <si>
    <t>These programs are not available to me</t>
  </si>
  <si>
    <t>I am unaware of these programs</t>
  </si>
  <si>
    <t>61. How satisfied are you with the following Work-Life programs in your agency? Health and Wellness Programs (for example, onsite exercise, flu vaccination, medical screening, CPR training, health and wellness fair)</t>
  </si>
  <si>
    <t>62. How satisfied are you with the following Work-Life programs in your agency? Employee Assistance Program - EAP (for example, short-term counseling, referral services, legal services, education services)</t>
  </si>
  <si>
    <t>63. How satisfied are you with the following Work-Life programs in your agency? Child Care Programs (for example, child care center, parenting classes and support groups, back-up care, subsidy, flexible spending account)</t>
  </si>
  <si>
    <t>64. How satisfied are you with the following Work-Life programs in your agency? Elder Care Programs (for example, elder/adult care, support groups, resources)</t>
  </si>
  <si>
    <t>Work-Life</t>
  </si>
  <si>
    <r>
      <t xml:space="preserve">65. Which of the following paid and unpaid </t>
    </r>
    <r>
      <rPr>
        <b/>
        <i/>
        <u/>
        <sz val="11"/>
        <color rgb="FF000000"/>
        <rFont val="calibri"/>
      </rPr>
      <t>child care</t>
    </r>
    <r>
      <rPr>
        <b/>
        <i/>
        <sz val="11"/>
        <color rgb="FF000000"/>
        <rFont val="Calibri"/>
      </rPr>
      <t xml:space="preserve"> arrangements have you used to perform your work responsibilities during the COVID-19 pandemic? (Mark all that apply)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</si>
  <si>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 do not have any child care responsibilities</t>
  </si>
  <si>
    <t>No arrangements needed to manage child care responsibilities (e.g., older children)</t>
  </si>
  <si>
    <t>Child care in my own home (e.g., other parent, relative, nanny, au pair)</t>
  </si>
  <si>
    <t>Alternative work arrangement (e.g., telework, flexible work schedule)</t>
  </si>
  <si>
    <t>Child care center</t>
  </si>
  <si>
    <t>Paid leave</t>
  </si>
  <si>
    <t>Unpaid leave</t>
  </si>
  <si>
    <t>Child care in someone else’s home (e.g., relative or neighbor, professional child care provider)</t>
  </si>
  <si>
    <t>Respite care (temporary care of a sick or disabled child, providing relief for their usual caregiver)</t>
  </si>
  <si>
    <t>Agency emergency back-up care program</t>
  </si>
  <si>
    <t>Resource and referral services for dependent child care</t>
  </si>
  <si>
    <t>Other services/arrangements</t>
  </si>
  <si>
    <t>Note: "I do not have any child care responsibilities" and "No arrangements needed to manage child care responsibilities (e.g., older children)" response options are mutually exclusive; respondents could not select either of these options and any other response option.</t>
  </si>
  <si>
    <r>
      <t xml:space="preserve">66. Which of the following paid and unpaid </t>
    </r>
    <r>
      <rPr>
        <b/>
        <i/>
        <u/>
        <sz val="11"/>
        <color rgb="FF000000"/>
        <rFont val="calibri"/>
      </rPr>
      <t>elder/adult care</t>
    </r>
    <r>
      <rPr>
        <b/>
        <i/>
        <sz val="11"/>
        <color rgb="FF000000"/>
        <rFont val="Calibri"/>
      </rPr>
      <t xml:space="preserve"> arrangements have you used to perform your work responsibilities during the COVID-19 pandemic? (Mark all that apply)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</si>
  <si>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 do not have any elder/adult care responsibilities</t>
  </si>
  <si>
    <t>No arrangements needed to manage elder/adult care responsibilities (e.g., elder can manage tasks of everyday living)</t>
  </si>
  <si>
    <t>Elder/adult day care center</t>
  </si>
  <si>
    <t>Long-term care insurance</t>
  </si>
  <si>
    <t>Respite care (temporary care of a sick or disabled adult/elder, providing relief for their usual caregiver)</t>
  </si>
  <si>
    <t>Note: "I do not have any elder/adult care responsibilities" and "No arrangements needed to manage elder/adult care responsibilities (e.g., elder can manage tasks of everyday living)" response options are mutually exclusive; respondents could not select either of these options and any other response option.</t>
  </si>
  <si>
    <t>67. During the COVID-19 pandemic, how disruptive have school closures/changes been to your ability to do your work?</t>
  </si>
  <si>
    <t>I do not have responsibility for school-aged children</t>
  </si>
  <si>
    <t>Does Not Apply</t>
  </si>
  <si>
    <t>68. During the COVID-19 pandemic, how disruptive have changes to your children's day care been to your ability to do your work?</t>
  </si>
  <si>
    <t>I do not have responsibility for children who need day care</t>
  </si>
  <si>
    <t>"I do not have responsibility for school-aged children", "I do not have responsibility for children who need day care", and "Does Not Apply" responses are not included in percentage calculations.</t>
  </si>
  <si>
    <t>My Employment Demographics</t>
  </si>
  <si>
    <t>Where do you work?</t>
  </si>
  <si>
    <t>Headquarters</t>
  </si>
  <si>
    <t>Field</t>
  </si>
  <si>
    <t>Full-time telework (e.g., home office, telecenter)</t>
  </si>
  <si>
    <t>What is your supervisory status?</t>
  </si>
  <si>
    <t>What is your pay category/grade?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</si>
  <si>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</si>
  <si>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</si>
  <si>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</si>
  <si>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</si>
  <si>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</si>
  <si>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Are you:</t>
  </si>
  <si>
    <t>The spouse of a current active duty service member of the U.S. Armed Forces</t>
  </si>
  <si>
    <t>The spouse of a service member who retired or separated from active duty in the U.S. Armed Forces with a disability rating of 100 percent</t>
  </si>
  <si>
    <t>The widow(er) of a service member killed while on active duty in the U.S. Armed Forces</t>
  </si>
  <si>
    <t>None of the categories listed</t>
  </si>
  <si>
    <t>If the response to the previous question on if you are a military spouse was "None of the categories listed," this item was skipped.</t>
  </si>
  <si>
    <t>Have you been hired under the Military Spouse Non-Competitive Hiring Authority?</t>
  </si>
  <si>
    <t>How long have you been with the Federal Government (excluding military service)?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</si>
  <si>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</si>
  <si>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</si>
  <si>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</si>
  <si>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</si>
  <si>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</si>
  <si>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</si>
  <si>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</si>
  <si>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How long have you been with your current agency (for example, Department of Justice, Environmental Protection Agency)?</t>
  </si>
  <si>
    <r>
      <t xml:space="preserve">Please select the response that best describes your </t>
    </r>
    <r>
      <rPr>
        <b/>
        <i/>
        <u/>
        <sz val="11"/>
        <color rgb="FF000000"/>
        <rFont val="calibri"/>
      </rPr>
      <t>intention to leave your organization</t>
    </r>
    <r>
      <rPr>
        <b/>
        <i/>
        <sz val="11"/>
        <color rgb="FF000000"/>
        <rFont val="Calibri"/>
      </rPr>
      <t> (1) before the</t>
    </r>
    <r>
      <rPr>
        <b/>
        <i/>
        <sz val="11"/>
        <color rgb="FF000000"/>
        <rFont val="Calibri"/>
      </rPr>
      <t xml:space="preserve"> </t>
    </r>
    <r>
      <rPr>
        <b/>
        <i/>
        <sz val="11"/>
        <color rgb="FF000000"/>
        <rFont val="Calibri"/>
      </rPr>
      <t>COVID-19 pandemic and (2) today (the date you responded to this survey).</t>
    </r>
  </si>
  <si>
    <t>Are you considering leaving your organization within the next year, and if so, why?</t>
  </si>
  <si>
    <t>Before the
COVID-19
Pandemic
%</t>
  </si>
  <si>
    <t>Today
%</t>
  </si>
  <si>
    <t>Yes, to retire</t>
  </si>
  <si>
    <t>Yes, to take another job within the Federal Government</t>
  </si>
  <si>
    <t>Yes, to take another job outside the Federal Government</t>
  </si>
  <si>
    <t>Yes, other</t>
  </si>
  <si>
    <t>If the response to your considering leaving your organization did not differ between "Before the COVID-19 Pandemic" and "Today," this item was skipped.</t>
  </si>
  <si>
    <r>
      <t xml:space="preserve">Has your intention to leave your organization within the next year changed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COVID-19 pandemic?</t>
    </r>
    <r>
      <rPr>
        <b/>
        <i/>
        <sz val="11"/>
        <color rgb="FF000000"/>
        <rFont val="Calibri"/>
      </rPr>
      <t xml:space="preserve">       </t>
    </r>
  </si>
  <si>
    <r>
      <t xml:space="preserve">Please select the response that best describes your </t>
    </r>
    <r>
      <rPr>
        <b/>
        <i/>
        <u/>
        <sz val="11"/>
        <color rgb="FF000000"/>
        <rFont val="calibri"/>
      </rPr>
      <t>retirement plans</t>
    </r>
    <r>
      <rPr>
        <b/>
        <i/>
        <sz val="11"/>
        <color rgb="FF000000"/>
        <rFont val="Calibri"/>
      </rPr>
      <t xml:space="preserve"> (1) before the COVID-19 pandemic</t>
    </r>
    <r>
      <rPr>
        <b/>
        <i/>
        <sz val="11"/>
        <color rgb="FF000000"/>
        <rFont val="Calibri"/>
      </rPr>
      <t xml:space="preserve"> </t>
    </r>
    <r>
      <rPr>
        <b/>
        <i/>
        <sz val="11"/>
        <color rgb="FF000000"/>
        <rFont val="Calibri"/>
      </rPr>
      <t>and (2) today (the date you responded to this survey).</t>
    </r>
  </si>
  <si>
    <t>I am planning to retire:</t>
  </si>
  <si>
    <t>1 year</t>
  </si>
  <si>
    <t>2 years</t>
  </si>
  <si>
    <t>3 years</t>
  </si>
  <si>
    <t>4 years</t>
  </si>
  <si>
    <t>5 years</t>
  </si>
  <si>
    <t>More than 5 years</t>
  </si>
  <si>
    <t>If the response to your retirement plans did not differ between "Before the COVID-19 Pandemic" and "Today," this item was skipped.</t>
  </si>
  <si>
    <r>
      <t xml:space="preserve">Has your retirement plan changed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COVID-19 pandemic?</t>
    </r>
    <r>
      <rPr>
        <b/>
        <i/>
        <sz val="11"/>
        <color rgb="FF000000"/>
        <rFont val="Calibri"/>
      </rPr>
      <t xml:space="preserve">                                                 </t>
    </r>
  </si>
  <si>
    <t>My Personal Demographics</t>
  </si>
  <si>
    <t>Are you of Hispanic, Latino, or Spanish origin?</t>
  </si>
  <si>
    <t>Please select the racial category or categories with which you most closely identify.</t>
  </si>
  <si>
    <t>What is your age group?</t>
  </si>
  <si>
    <t>29 years and under</t>
  </si>
  <si>
    <t>30-39 years old</t>
  </si>
  <si>
    <t>40-49 years old</t>
  </si>
  <si>
    <t>50-59 years old</t>
  </si>
  <si>
    <t>60 years or older</t>
  </si>
  <si>
    <t>What is the highest degree or level of education you have completed?</t>
  </si>
  <si>
    <t>Less than High School/ High School Diploma/ GED</t>
  </si>
  <si>
    <t>Certification/ Some College/ Associate's Degree</t>
  </si>
  <si>
    <t>Advanced Degrees (Post Bachelor's Degree)</t>
  </si>
  <si>
    <t>Are you an individual with a disability?</t>
  </si>
  <si>
    <t>Male</t>
  </si>
  <si>
    <t>Are you transgender?</t>
  </si>
  <si>
    <t>Which one of the following do you consider yourself to be?</t>
  </si>
  <si>
    <t>Straight, that is not gay or lesbian</t>
  </si>
  <si>
    <t>Gay or Lesbian</t>
  </si>
  <si>
    <t>Bisexual</t>
  </si>
  <si>
    <t>Something else</t>
  </si>
  <si>
    <r>
      <rPr>
        <sz val="10"/>
        <color rgb="FF000000"/>
        <rFont val="Calibri"/>
      </rPr>
      <t>Percentages for demographic questions are unweighted.</t>
    </r>
  </si>
  <si>
    <r>
      <rPr>
        <sz val="10"/>
        <color rgb="FF000000"/>
        <rFont val="Calibri"/>
      </rPr>
      <t>No suppression was applied to My Employment Demographics.</t>
    </r>
  </si>
  <si>
    <t>Agency-Specific Questions</t>
  </si>
  <si>
    <t>1.  The work I perform over the course of the year closely reflects my performance plan.</t>
  </si>
  <si>
    <t>2.  I could be more productive in my job if I had...(choose the top three that apply)</t>
  </si>
  <si>
    <t>More collaboration in work unit</t>
  </si>
  <si>
    <t>Better training</t>
  </si>
  <si>
    <t>Job-related software</t>
  </si>
  <si>
    <t>Clearer processes and procedures</t>
  </si>
  <si>
    <t>Clearer guidance</t>
  </si>
  <si>
    <t>I do not require anything else</t>
  </si>
  <si>
    <t>3.  Senior leaders clearly articulate, prioritize, and explain the reasons behind major decisions.</t>
  </si>
  <si>
    <t>4.  Senior leaders clearly articulate, prioritize, and explan progress being made on the Treasury strategic plan.</t>
  </si>
  <si>
    <t>5.  I would feel comfortable raising risks within my organization</t>
  </si>
  <si>
    <t>6.  In the last 6 months my supervisor has met with my work unit to hold an open discussion on how we might work better as a team.</t>
  </si>
  <si>
    <t>7.  Managers consider how changes impact their employees as part of their decision making.</t>
  </si>
  <si>
    <t>8.  Are you a bargaining unit (union membership) employee?</t>
  </si>
  <si>
    <t>For all tables on this worksheet:</t>
  </si>
  <si>
    <t>Percentages are weighted to represent the Agency’s population.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</si>
</sst>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\+####;\-####;"/>
    <numFmt numFmtId="167" formatCode="##0.00%"/>
    <numFmt numFmtId="168" formatCode="########0"/>
    <numFmt numFmtId="169" formatCode="##0.0%"/>
    <numFmt numFmtId="170" formatCode="###,##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595959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18"/>
      <color theme="1" tint="0.34998626667073579"/>
      <name val="Calibri"/>
      <family val="2"/>
      <scheme val="minor"/>
    </font>
    <font>
      <sz val="11"/>
      <color rgb="FF225EA8"/>
      <name val="Franklin Gothic Demi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b/>
      <sz val="9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rgb="FF202D7E"/>
      <name val="Arial"/>
      <family val="2"/>
    </font>
    <font>
      <sz val="8"/>
      <color theme="1" tint="0.34998626667073579"/>
      <name val="Arial"/>
      <family val="2"/>
    </font>
    <font>
      <sz val="10"/>
      <color theme="1" tint="0.249977111117893"/>
      <name val="Arial"/>
      <family val="2"/>
    </font>
    <font>
      <sz val="18"/>
      <color theme="1"/>
      <name val="Calibri"/>
      <family val="2"/>
      <scheme val="minor"/>
    </font>
    <font>
      <sz val="8"/>
      <color theme="1"/>
      <name val="Franklin Gothic Book"/>
      <family val="2"/>
    </font>
    <font>
      <sz val="9.5"/>
      <color rgb="FF000000"/>
      <name val="Arial"/>
      <family val="2"/>
    </font>
    <font>
      <sz val="11"/>
      <color theme="1" tint="0.34998626667073579"/>
      <name val="Calibri"/>
      <family val="2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u/>
      <sz val="14"/>
      <color rgb="FF2C578F"/>
      <name val="calibri"/>
    </font>
    <font>
      <b/>
      <i/>
      <u/>
      <sz val="11"/>
      <color rgb="FF000000"/>
      <name val="calibri"/>
    </font>
    <font>
      <u/>
      <sz val="11"/>
      <color rgb="FF000000"/>
      <name val="calibri"/>
    </font>
    <font>
      <b/>
      <u/>
      <sz val="11"/>
      <color rgb="FF000000"/>
      <name val="calibri"/>
    </font>
    <font>
      <i/>
      <sz val="9.5"/>
      <color rgb="FF000000"/>
      <name val="Calibri"/>
    </font>
    <font>
      <b/>
      <u/>
      <sz val="14"/>
      <color rgb="FF375799"/>
      <name val="Calibri"/>
    </font>
    <font>
      <b/>
      <sz val="14"/>
      <color rgb="FF2C578F"/>
      <name val="calibri"/>
    </font>
    <font>
      <u/>
      <sz val="10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2C57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DE8"/>
        <bgColor indexed="64"/>
      </patternFill>
    </fill>
    <fill>
      <patternFill patternType="solid">
        <fgColor rgb="FFEFEFF1"/>
        <bgColor indexed="64"/>
      </patternFill>
    </fill>
    <fill>
      <patternFill patternType="solid">
        <fgColor rgb="FFFAFAFC"/>
        <bgColor indexed="64"/>
      </patternFill>
    </fill>
  </fills>
  <borders count="42">
    <border>
      <left/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4DDE8"/>
      </left>
      <right style="thin">
        <color rgb="FFD4DDE8"/>
      </right>
      <top style="thin">
        <color rgb="FFD4DDE8"/>
      </top>
      <bottom style="thin">
        <color rgb="FFD4DDE8"/>
      </bottom>
      <diagonal/>
    </border>
    <border>
      <left style="thin">
        <color rgb="FF000000"/>
      </left>
      <right style="thin">
        <color rgb="FFD4DDE8"/>
      </right>
      <top style="thin">
        <color rgb="FFD4DDE8"/>
      </top>
      <bottom style="thin">
        <color rgb="FFD4DDE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FEFF1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000000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AFAFC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000000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2C578F"/>
      </bottom>
      <diagonal/>
    </border>
    <border>
      <left style="thin">
        <color rgb="FFFFFFFF"/>
      </left>
      <right style="thin">
        <color rgb="FFFFFFFF"/>
      </right>
      <top style="thin">
        <color rgb="FF2C578F"/>
      </top>
      <bottom style="thin">
        <color rgb="FFFFFFF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4" fillId="0" borderId="0"/>
    <xf numFmtId="0" fontId="44" fillId="0" borderId="0"/>
    <xf numFmtId="0" fontId="46" fillId="0" borderId="0"/>
  </cellStyleXfs>
  <cellXfs count="236">
    <xf numFmtId="0" fontId="0" fillId="0" borderId="0" xfId="0"/>
    <xf numFmtId="0" fontId="3" fillId="3" borderId="0" xfId="3" applyFont="1" applyFill="1"/>
    <xf numFmtId="0" fontId="4" fillId="3" borderId="0" xfId="3" applyFont="1" applyFill="1" applyBorder="1"/>
    <xf numFmtId="0" fontId="5" fillId="3" borderId="0" xfId="3" applyFont="1" applyFill="1"/>
    <xf numFmtId="0" fontId="6" fillId="3" borderId="0" xfId="3" applyFont="1" applyFill="1"/>
    <xf numFmtId="0" fontId="4" fillId="3" borderId="0" xfId="3" applyFont="1" applyFill="1"/>
    <xf numFmtId="0" fontId="3" fillId="2" borderId="1" xfId="3" applyFont="1" applyFill="1" applyBorder="1"/>
    <xf numFmtId="0" fontId="3" fillId="2" borderId="2" xfId="3" applyFont="1" applyFill="1" applyBorder="1"/>
    <xf numFmtId="0" fontId="3" fillId="2" borderId="3" xfId="3" applyFont="1" applyFill="1" applyBorder="1"/>
    <xf numFmtId="0" fontId="3" fillId="2" borderId="4" xfId="3" applyFont="1" applyFill="1" applyBorder="1"/>
    <xf numFmtId="0" fontId="8" fillId="2" borderId="0" xfId="3" applyFont="1" applyFill="1" applyBorder="1" applyAlignment="1">
      <alignment vertical="center"/>
    </xf>
    <xf numFmtId="0" fontId="3" fillId="2" borderId="0" xfId="3" applyFont="1" applyFill="1" applyBorder="1"/>
    <xf numFmtId="0" fontId="9" fillId="2" borderId="0" xfId="3" applyFont="1" applyFill="1" applyBorder="1" applyAlignment="1">
      <alignment horizontal="right"/>
    </xf>
    <xf numFmtId="0" fontId="3" fillId="2" borderId="5" xfId="3" applyFont="1" applyFill="1" applyBorder="1"/>
    <xf numFmtId="0" fontId="10" fillId="3" borderId="0" xfId="0" applyFont="1" applyFill="1" applyBorder="1"/>
    <xf numFmtId="164" fontId="4" fillId="3" borderId="0" xfId="1" applyNumberFormat="1" applyFont="1" applyFill="1" applyBorder="1"/>
    <xf numFmtId="165" fontId="4" fillId="3" borderId="0" xfId="2" applyNumberFormat="1" applyFont="1" applyFill="1" applyBorder="1"/>
    <xf numFmtId="9" fontId="4" fillId="3" borderId="0" xfId="2" applyFont="1" applyFill="1" applyBorder="1"/>
    <xf numFmtId="0" fontId="3" fillId="2" borderId="0" xfId="3" applyFont="1" applyFill="1" applyBorder="1" applyAlignment="1">
      <alignment horizontal="left" vertical="top"/>
    </xf>
    <xf numFmtId="0" fontId="11" fillId="2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horizontal="right" vertical="center"/>
    </xf>
    <xf numFmtId="3" fontId="12" fillId="2" borderId="0" xfId="3" applyNumberFormat="1" applyFont="1" applyFill="1" applyBorder="1"/>
    <xf numFmtId="0" fontId="12" fillId="2" borderId="0" xfId="3" applyFont="1" applyFill="1" applyBorder="1"/>
    <xf numFmtId="3" fontId="13" fillId="2" borderId="0" xfId="3" applyNumberFormat="1" applyFont="1" applyFill="1" applyBorder="1" applyAlignment="1">
      <alignment horizontal="right"/>
    </xf>
    <xf numFmtId="3" fontId="12" fillId="2" borderId="0" xfId="3" applyNumberFormat="1" applyFont="1" applyFill="1" applyBorder="1" applyAlignment="1">
      <alignment horizontal="right"/>
    </xf>
    <xf numFmtId="1" fontId="13" fillId="2" borderId="0" xfId="3" applyNumberFormat="1" applyFont="1" applyFill="1" applyBorder="1" applyAlignment="1">
      <alignment horizontal="right"/>
    </xf>
    <xf numFmtId="0" fontId="5" fillId="3" borderId="0" xfId="3" applyFont="1" applyFill="1" applyBorder="1"/>
    <xf numFmtId="2" fontId="15" fillId="3" borderId="0" xfId="0" applyNumberFormat="1" applyFont="1" applyFill="1" applyBorder="1" applyAlignment="1" applyProtection="1">
      <alignment vertical="center"/>
    </xf>
    <xf numFmtId="10" fontId="13" fillId="2" borderId="0" xfId="3" applyNumberFormat="1" applyFont="1" applyFill="1" applyBorder="1" applyAlignment="1">
      <alignment horizontal="right"/>
    </xf>
    <xf numFmtId="10" fontId="12" fillId="2" borderId="0" xfId="3" applyNumberFormat="1" applyFont="1" applyFill="1" applyBorder="1" applyAlignment="1">
      <alignment horizontal="right"/>
    </xf>
    <xf numFmtId="0" fontId="3" fillId="2" borderId="0" xfId="3" applyFont="1" applyFill="1"/>
    <xf numFmtId="0" fontId="16" fillId="2" borderId="0" xfId="3" applyFont="1" applyFill="1" applyBorder="1"/>
    <xf numFmtId="0" fontId="15" fillId="3" borderId="0" xfId="0" applyNumberFormat="1" applyFont="1" applyFill="1" applyBorder="1" applyAlignment="1" applyProtection="1">
      <alignment vertical="center" wrapText="1"/>
    </xf>
    <xf numFmtId="0" fontId="4" fillId="2" borderId="0" xfId="3" applyFont="1" applyFill="1"/>
    <xf numFmtId="0" fontId="17" fillId="2" borderId="0" xfId="3" applyFont="1" applyFill="1" applyBorder="1" applyAlignment="1">
      <alignment vertical="center"/>
    </xf>
    <xf numFmtId="0" fontId="17" fillId="2" borderId="0" xfId="3" applyFont="1" applyFill="1" applyBorder="1" applyAlignment="1">
      <alignment horizontal="center" vertical="center"/>
    </xf>
    <xf numFmtId="3" fontId="3" fillId="2" borderId="0" xfId="3" applyNumberFormat="1" applyFont="1" applyFill="1" applyBorder="1" applyAlignment="1">
      <alignment horizontal="center"/>
    </xf>
    <xf numFmtId="9" fontId="3" fillId="2" borderId="0" xfId="3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9" fontId="10" fillId="3" borderId="0" xfId="2" applyNumberFormat="1" applyFont="1" applyFill="1" applyBorder="1"/>
    <xf numFmtId="0" fontId="3" fillId="2" borderId="0" xfId="3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center" vertical="center"/>
    </xf>
    <xf numFmtId="0" fontId="10" fillId="3" borderId="0" xfId="3" applyFont="1" applyFill="1" applyBorder="1"/>
    <xf numFmtId="0" fontId="19" fillId="2" borderId="0" xfId="3" applyFont="1" applyFill="1" applyBorder="1"/>
    <xf numFmtId="9" fontId="18" fillId="3" borderId="0" xfId="2" applyFont="1" applyFill="1" applyBorder="1" applyAlignment="1">
      <alignment horizontal="center" vertical="center"/>
    </xf>
    <xf numFmtId="0" fontId="20" fillId="3" borderId="0" xfId="3" applyFont="1" applyFill="1"/>
    <xf numFmtId="2" fontId="4" fillId="3" borderId="0" xfId="3" applyNumberFormat="1" applyFont="1" applyFill="1" applyBorder="1"/>
    <xf numFmtId="0" fontId="3" fillId="2" borderId="6" xfId="3" applyFont="1" applyFill="1" applyBorder="1"/>
    <xf numFmtId="0" fontId="3" fillId="2" borderId="7" xfId="3" applyFont="1" applyFill="1" applyBorder="1"/>
    <xf numFmtId="0" fontId="3" fillId="2" borderId="8" xfId="3" applyFont="1" applyFill="1" applyBorder="1"/>
    <xf numFmtId="0" fontId="3" fillId="3" borderId="0" xfId="3" applyFont="1" applyFill="1" applyBorder="1"/>
    <xf numFmtId="0" fontId="10" fillId="3" borderId="0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vertical="top"/>
    </xf>
    <xf numFmtId="0" fontId="3" fillId="2" borderId="9" xfId="3" applyFont="1" applyFill="1" applyBorder="1"/>
    <xf numFmtId="0" fontId="3" fillId="2" borderId="10" xfId="3" applyFont="1" applyFill="1" applyBorder="1"/>
    <xf numFmtId="9" fontId="4" fillId="3" borderId="0" xfId="2" applyFont="1" applyFill="1"/>
    <xf numFmtId="0" fontId="18" fillId="3" borderId="0" xfId="0" applyNumberFormat="1" applyFont="1" applyFill="1" applyBorder="1" applyAlignment="1">
      <alignment horizontal="center" vertical="center"/>
    </xf>
    <xf numFmtId="0" fontId="4" fillId="3" borderId="0" xfId="3" applyFont="1" applyFill="1" applyAlignment="1">
      <alignment wrapText="1"/>
    </xf>
    <xf numFmtId="9" fontId="18" fillId="3" borderId="0" xfId="0" applyNumberFormat="1" applyFont="1" applyFill="1" applyBorder="1" applyAlignment="1">
      <alignment horizontal="center" vertical="center"/>
    </xf>
    <xf numFmtId="9" fontId="4" fillId="3" borderId="0" xfId="2" applyFont="1" applyFill="1" applyAlignment="1">
      <alignment wrapText="1"/>
    </xf>
    <xf numFmtId="0" fontId="4" fillId="3" borderId="0" xfId="3" applyNumberFormat="1" applyFont="1" applyFill="1" applyBorder="1"/>
    <xf numFmtId="9" fontId="4" fillId="3" borderId="0" xfId="3" applyNumberFormat="1" applyFont="1" applyFill="1" applyBorder="1"/>
    <xf numFmtId="0" fontId="3" fillId="2" borderId="11" xfId="3" applyFont="1" applyFill="1" applyBorder="1"/>
    <xf numFmtId="0" fontId="3" fillId="2" borderId="12" xfId="3" applyFont="1" applyFill="1" applyBorder="1"/>
    <xf numFmtId="0" fontId="3" fillId="2" borderId="13" xfId="3" applyFont="1" applyFill="1" applyBorder="1"/>
    <xf numFmtId="0" fontId="4" fillId="3" borderId="0" xfId="3" applyFont="1" applyFill="1" applyAlignment="1"/>
    <xf numFmtId="0" fontId="5" fillId="3" borderId="0" xfId="3" applyFont="1" applyFill="1" applyAlignment="1"/>
    <xf numFmtId="0" fontId="10" fillId="3" borderId="0" xfId="3" applyFont="1" applyFill="1" applyAlignment="1"/>
    <xf numFmtId="0" fontId="4" fillId="3" borderId="0" xfId="3" applyFont="1" applyFill="1" applyBorder="1" applyAlignment="1"/>
    <xf numFmtId="0" fontId="2" fillId="3" borderId="0" xfId="3" applyFill="1"/>
    <xf numFmtId="0" fontId="23" fillId="3" borderId="0" xfId="3" applyFont="1" applyFill="1"/>
    <xf numFmtId="0" fontId="24" fillId="3" borderId="0" xfId="3" applyFont="1" applyFill="1"/>
    <xf numFmtId="0" fontId="25" fillId="3" borderId="0" xfId="3" applyFont="1" applyFill="1"/>
    <xf numFmtId="0" fontId="2" fillId="2" borderId="1" xfId="3" applyFill="1" applyBorder="1"/>
    <xf numFmtId="0" fontId="2" fillId="2" borderId="2" xfId="3" applyFill="1" applyBorder="1"/>
    <xf numFmtId="0" fontId="2" fillId="2" borderId="9" xfId="3" applyFill="1" applyBorder="1"/>
    <xf numFmtId="2" fontId="4" fillId="3" borderId="0" xfId="2" applyNumberFormat="1" applyFont="1" applyFill="1"/>
    <xf numFmtId="0" fontId="2" fillId="2" borderId="4" xfId="3" applyFill="1" applyBorder="1"/>
    <xf numFmtId="0" fontId="26" fillId="2" borderId="0" xfId="3" applyFont="1" applyFill="1" applyBorder="1" applyAlignment="1">
      <alignment vertical="center"/>
    </xf>
    <xf numFmtId="0" fontId="2" fillId="2" borderId="0" xfId="3" applyFill="1" applyBorder="1"/>
    <xf numFmtId="0" fontId="27" fillId="2" borderId="0" xfId="3" applyFont="1" applyFill="1" applyBorder="1" applyAlignment="1">
      <alignment horizontal="right"/>
    </xf>
    <xf numFmtId="0" fontId="2" fillId="2" borderId="10" xfId="3" applyFill="1" applyBorder="1"/>
    <xf numFmtId="1" fontId="4" fillId="3" borderId="0" xfId="3" applyNumberFormat="1" applyFont="1" applyFill="1"/>
    <xf numFmtId="1" fontId="4" fillId="3" borderId="0" xfId="2" applyNumberFormat="1" applyFont="1" applyFill="1"/>
    <xf numFmtId="166" fontId="4" fillId="3" borderId="0" xfId="2" applyNumberFormat="1" applyFont="1" applyFill="1" applyBorder="1"/>
    <xf numFmtId="0" fontId="2" fillId="2" borderId="0" xfId="3" applyFill="1" applyBorder="1" applyAlignment="1">
      <alignment horizontal="left" vertical="top"/>
    </xf>
    <xf numFmtId="0" fontId="28" fillId="2" borderId="0" xfId="3" applyFont="1" applyFill="1" applyBorder="1" applyAlignment="1">
      <alignment vertical="center"/>
    </xf>
    <xf numFmtId="0" fontId="28" fillId="2" borderId="0" xfId="3" applyFont="1" applyFill="1" applyBorder="1" applyAlignment="1">
      <alignment horizontal="right" vertical="center"/>
    </xf>
    <xf numFmtId="2" fontId="29" fillId="3" borderId="0" xfId="0" applyNumberFormat="1" applyFont="1" applyFill="1" applyBorder="1" applyAlignment="1" applyProtection="1">
      <alignment vertical="center"/>
    </xf>
    <xf numFmtId="0" fontId="2" fillId="2" borderId="0" xfId="3" applyFill="1" applyBorder="1" applyAlignment="1">
      <alignment horizontal="left"/>
    </xf>
    <xf numFmtId="0" fontId="2" fillId="2" borderId="0" xfId="3" applyFill="1"/>
    <xf numFmtId="0" fontId="30" fillId="2" borderId="0" xfId="3" applyFont="1" applyFill="1" applyBorder="1"/>
    <xf numFmtId="0" fontId="29" fillId="3" borderId="0" xfId="0" applyNumberFormat="1" applyFont="1" applyFill="1" applyBorder="1" applyAlignment="1" applyProtection="1">
      <alignment vertical="center" wrapText="1"/>
    </xf>
    <xf numFmtId="0" fontId="32" fillId="2" borderId="0" xfId="3" applyFont="1" applyFill="1" applyBorder="1" applyAlignment="1">
      <alignment vertical="center"/>
    </xf>
    <xf numFmtId="0" fontId="32" fillId="2" borderId="0" xfId="3" applyFont="1" applyFill="1" applyBorder="1" applyAlignment="1">
      <alignment horizontal="center" vertical="center"/>
    </xf>
    <xf numFmtId="9" fontId="4" fillId="3" borderId="0" xfId="3" applyNumberFormat="1" applyFont="1" applyFill="1"/>
    <xf numFmtId="9" fontId="33" fillId="3" borderId="0" xfId="2" applyFont="1" applyFill="1"/>
    <xf numFmtId="0" fontId="34" fillId="3" borderId="0" xfId="3" applyFont="1" applyFill="1"/>
    <xf numFmtId="0" fontId="35" fillId="2" borderId="0" xfId="3" applyFont="1" applyFill="1" applyBorder="1"/>
    <xf numFmtId="3" fontId="35" fillId="2" borderId="0" xfId="3" applyNumberFormat="1" applyFont="1" applyFill="1" applyBorder="1" applyAlignment="1">
      <alignment horizontal="center"/>
    </xf>
    <xf numFmtId="9" fontId="35" fillId="2" borderId="0" xfId="3" applyNumberFormat="1" applyFont="1" applyFill="1" applyBorder="1" applyAlignment="1">
      <alignment horizontal="center"/>
    </xf>
    <xf numFmtId="0" fontId="36" fillId="3" borderId="0" xfId="3" applyFont="1" applyFill="1"/>
    <xf numFmtId="0" fontId="33" fillId="3" borderId="0" xfId="3" applyFont="1" applyFill="1"/>
    <xf numFmtId="0" fontId="10" fillId="3" borderId="0" xfId="3" applyFont="1" applyFill="1"/>
    <xf numFmtId="0" fontId="37" fillId="3" borderId="0" xfId="3" applyFont="1" applyFill="1"/>
    <xf numFmtId="0" fontId="38" fillId="3" borderId="0" xfId="3" applyFont="1" applyFill="1"/>
    <xf numFmtId="9" fontId="37" fillId="3" borderId="0" xfId="2" applyFont="1" applyFill="1"/>
    <xf numFmtId="0" fontId="39" fillId="2" borderId="0" xfId="3" applyFont="1" applyFill="1" applyBorder="1"/>
    <xf numFmtId="2" fontId="40" fillId="3" borderId="0" xfId="0" applyNumberFormat="1" applyFont="1" applyFill="1" applyBorder="1" applyAlignment="1">
      <alignment horizontal="left" vertical="center"/>
    </xf>
    <xf numFmtId="9" fontId="40" fillId="3" borderId="0" xfId="2" applyFont="1" applyFill="1" applyBorder="1" applyAlignment="1">
      <alignment horizontal="center" vertical="center"/>
    </xf>
    <xf numFmtId="2" fontId="40" fillId="3" borderId="0" xfId="0" applyNumberFormat="1" applyFont="1" applyFill="1" applyBorder="1" applyAlignment="1">
      <alignment horizontal="center" vertical="center"/>
    </xf>
    <xf numFmtId="0" fontId="41" fillId="3" borderId="0" xfId="3" applyFont="1" applyFill="1"/>
    <xf numFmtId="9" fontId="24" fillId="3" borderId="0" xfId="2" applyFont="1" applyFill="1" applyBorder="1"/>
    <xf numFmtId="2" fontId="24" fillId="3" borderId="0" xfId="3" applyNumberFormat="1" applyFont="1" applyFill="1" applyBorder="1"/>
    <xf numFmtId="0" fontId="2" fillId="3" borderId="0" xfId="3" applyFill="1" applyBorder="1"/>
    <xf numFmtId="0" fontId="24" fillId="3" borderId="0" xfId="3" applyFont="1" applyFill="1" applyBorder="1"/>
    <xf numFmtId="0" fontId="2" fillId="2" borderId="11" xfId="3" applyFill="1" applyBorder="1"/>
    <xf numFmtId="0" fontId="2" fillId="2" borderId="12" xfId="3" applyFill="1" applyBorder="1"/>
    <xf numFmtId="0" fontId="2" fillId="2" borderId="13" xfId="3" applyFill="1" applyBorder="1"/>
    <xf numFmtId="167" fontId="45" fillId="3" borderId="0" xfId="4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left"/>
    </xf>
    <xf numFmtId="9" fontId="4" fillId="3" borderId="0" xfId="2" applyFont="1" applyFill="1" applyBorder="1" applyAlignment="1">
      <alignment horizontal="left"/>
    </xf>
    <xf numFmtId="0" fontId="5" fillId="3" borderId="0" xfId="3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top" wrapText="1"/>
    </xf>
    <xf numFmtId="0" fontId="22" fillId="4" borderId="0" xfId="3" applyFont="1" applyFill="1" applyBorder="1"/>
    <xf numFmtId="0" fontId="47" fillId="5" borderId="17" xfId="6" applyFont="1" applyFill="1" applyBorder="1" applyAlignment="1">
      <alignment horizontal="center" wrapText="1"/>
    </xf>
    <xf numFmtId="0" fontId="47" fillId="5" borderId="18" xfId="6" applyFont="1" applyFill="1" applyBorder="1" applyAlignment="1">
      <alignment horizontal="center" wrapText="1"/>
    </xf>
    <xf numFmtId="0" fontId="47" fillId="5" borderId="19" xfId="6" applyFont="1" applyFill="1" applyBorder="1" applyAlignment="1">
      <alignment horizontal="center" wrapText="1"/>
    </xf>
    <xf numFmtId="0" fontId="48" fillId="6" borderId="17" xfId="6" applyFont="1" applyFill="1" applyBorder="1" applyAlignment="1">
      <alignment horizontal="center" wrapText="1"/>
    </xf>
    <xf numFmtId="0" fontId="48" fillId="6" borderId="20" xfId="6" applyFont="1" applyFill="1" applyBorder="1" applyAlignment="1">
      <alignment horizontal="center" wrapText="1"/>
    </xf>
    <xf numFmtId="0" fontId="48" fillId="6" borderId="21" xfId="6" applyFont="1" applyFill="1" applyBorder="1" applyAlignment="1">
      <alignment horizontal="center" wrapText="1"/>
    </xf>
    <xf numFmtId="0" fontId="48" fillId="6" borderId="22" xfId="6" applyFont="1" applyFill="1" applyBorder="1" applyAlignment="1">
      <alignment horizontal="center" wrapText="1"/>
    </xf>
    <xf numFmtId="0" fontId="46" fillId="7" borderId="0" xfId="6" applyFont="1" applyFill="1" applyBorder="1" applyAlignment="1">
      <alignment horizontal="left"/>
    </xf>
    <xf numFmtId="0" fontId="47" fillId="7" borderId="23" xfId="6" applyFont="1" applyFill="1" applyBorder="1" applyAlignment="1">
      <alignment horizontal="left" vertical="top" wrapText="1"/>
    </xf>
    <xf numFmtId="168" fontId="47" fillId="7" borderId="24" xfId="6" applyNumberFormat="1" applyFont="1" applyFill="1" applyBorder="1" applyAlignment="1">
      <alignment horizontal="center" vertical="top" wrapText="1"/>
    </xf>
    <xf numFmtId="169" fontId="47" fillId="8" borderId="25" xfId="6" applyNumberFormat="1" applyFont="1" applyFill="1" applyBorder="1" applyAlignment="1">
      <alignment horizontal="center" wrapText="1"/>
    </xf>
    <xf numFmtId="169" fontId="47" fillId="7" borderId="26" xfId="6" applyNumberFormat="1" applyFont="1" applyFill="1" applyBorder="1" applyAlignment="1">
      <alignment horizontal="center" wrapText="1"/>
    </xf>
    <xf numFmtId="169" fontId="47" fillId="7" borderId="23" xfId="6" applyNumberFormat="1" applyFont="1" applyFill="1" applyBorder="1" applyAlignment="1">
      <alignment horizontal="center" wrapText="1"/>
    </xf>
    <xf numFmtId="169" fontId="47" fillId="8" borderId="25" xfId="6" applyNumberFormat="1" applyFont="1" applyFill="1" applyBorder="1" applyAlignment="1">
      <alignment horizontal="center"/>
    </xf>
    <xf numFmtId="168" fontId="47" fillId="7" borderId="24" xfId="6" applyNumberFormat="1" applyFont="1" applyFill="1" applyBorder="1" applyAlignment="1">
      <alignment horizontal="right"/>
    </xf>
    <xf numFmtId="168" fontId="47" fillId="7" borderId="26" xfId="6" applyNumberFormat="1" applyFont="1" applyFill="1" applyBorder="1" applyAlignment="1">
      <alignment horizontal="right"/>
    </xf>
    <xf numFmtId="168" fontId="47" fillId="7" borderId="25" xfId="6" applyNumberFormat="1" applyFont="1" applyFill="1" applyBorder="1" applyAlignment="1">
      <alignment horizontal="right"/>
    </xf>
    <xf numFmtId="170" fontId="47" fillId="7" borderId="23" xfId="6" applyNumberFormat="1" applyFont="1" applyFill="1" applyBorder="1" applyAlignment="1">
      <alignment horizontal="right"/>
    </xf>
    <xf numFmtId="0" fontId="49" fillId="7" borderId="0" xfId="6" applyFont="1" applyFill="1" applyBorder="1" applyAlignment="1">
      <alignment horizontal="left"/>
    </xf>
    <xf numFmtId="0" fontId="52" fillId="8" borderId="27" xfId="6" applyFont="1" applyFill="1" applyBorder="1" applyAlignment="1">
      <alignment horizontal="right" wrapText="1"/>
    </xf>
    <xf numFmtId="0" fontId="52" fillId="8" borderId="28" xfId="6" applyFont="1" applyFill="1" applyBorder="1" applyAlignment="1">
      <alignment horizontal="right" wrapText="1"/>
    </xf>
    <xf numFmtId="0" fontId="47" fillId="7" borderId="29" xfId="6" applyFont="1" applyFill="1" applyBorder="1" applyAlignment="1">
      <alignment horizontal="left" wrapText="1"/>
    </xf>
    <xf numFmtId="0" fontId="47" fillId="7" borderId="29" xfId="6" applyFont="1" applyFill="1" applyBorder="1" applyAlignment="1">
      <alignment horizontal="right" wrapText="1"/>
    </xf>
    <xf numFmtId="169" fontId="47" fillId="7" borderId="29" xfId="6" applyNumberFormat="1" applyFont="1" applyFill="1" applyBorder="1" applyAlignment="1">
      <alignment horizontal="right" wrapText="1"/>
    </xf>
    <xf numFmtId="0" fontId="47" fillId="7" borderId="30" xfId="6" applyFont="1" applyFill="1" applyBorder="1" applyAlignment="1">
      <alignment horizontal="right" wrapText="1"/>
    </xf>
    <xf numFmtId="169" fontId="47" fillId="9" borderId="31" xfId="6" applyNumberFormat="1" applyFont="1" applyFill="1" applyBorder="1" applyAlignment="1">
      <alignment horizontal="right" wrapText="1"/>
    </xf>
    <xf numFmtId="0" fontId="47" fillId="7" borderId="33" xfId="6" applyFont="1" applyFill="1" applyBorder="1" applyAlignment="1">
      <alignment horizontal="right" wrapText="1"/>
    </xf>
    <xf numFmtId="169" fontId="47" fillId="7" borderId="33" xfId="6" applyNumberFormat="1" applyFont="1" applyFill="1" applyBorder="1" applyAlignment="1">
      <alignment horizontal="right" wrapText="1"/>
    </xf>
    <xf numFmtId="3" fontId="47" fillId="7" borderId="29" xfId="6" applyNumberFormat="1" applyFont="1" applyFill="1" applyBorder="1" applyAlignment="1">
      <alignment horizontal="right" wrapText="1"/>
    </xf>
    <xf numFmtId="3" fontId="47" fillId="7" borderId="30" xfId="6" applyNumberFormat="1" applyFont="1" applyFill="1" applyBorder="1" applyAlignment="1">
      <alignment horizontal="right" wrapText="1"/>
    </xf>
    <xf numFmtId="3" fontId="47" fillId="9" borderId="31" xfId="6" applyNumberFormat="1" applyFont="1" applyFill="1" applyBorder="1" applyAlignment="1">
      <alignment horizontal="right" wrapText="1"/>
    </xf>
    <xf numFmtId="3" fontId="47" fillId="9" borderId="32" xfId="6" applyNumberFormat="1" applyFont="1" applyFill="1" applyBorder="1" applyAlignment="1">
      <alignment horizontal="right" wrapText="1"/>
    </xf>
    <xf numFmtId="3" fontId="47" fillId="7" borderId="33" xfId="6" applyNumberFormat="1" applyFont="1" applyFill="1" applyBorder="1" applyAlignment="1">
      <alignment horizontal="right" wrapText="1"/>
    </xf>
    <xf numFmtId="3" fontId="47" fillId="7" borderId="34" xfId="6" applyNumberFormat="1" applyFont="1" applyFill="1" applyBorder="1" applyAlignment="1">
      <alignment horizontal="right" wrapText="1"/>
    </xf>
    <xf numFmtId="168" fontId="47" fillId="7" borderId="25" xfId="6" applyNumberFormat="1" applyFont="1" applyFill="1" applyBorder="1" applyAlignment="1">
      <alignment horizontal="center" vertical="top" wrapText="1"/>
    </xf>
    <xf numFmtId="168" fontId="47" fillId="7" borderId="23" xfId="6" applyNumberFormat="1" applyFont="1" applyFill="1" applyBorder="1" applyAlignment="1">
      <alignment horizontal="right" wrapText="1"/>
    </xf>
    <xf numFmtId="170" fontId="47" fillId="7" borderId="23" xfId="6" applyNumberFormat="1" applyFont="1" applyFill="1" applyBorder="1" applyAlignment="1">
      <alignment horizontal="right" wrapText="1"/>
    </xf>
    <xf numFmtId="0" fontId="53" fillId="7" borderId="29" xfId="6" applyFont="1" applyFill="1" applyBorder="1" applyAlignment="1">
      <alignment horizontal="left" wrapText="1"/>
    </xf>
    <xf numFmtId="0" fontId="46" fillId="7" borderId="29" xfId="6" applyFont="1" applyFill="1" applyBorder="1" applyAlignment="1">
      <alignment horizontal="center" wrapText="1"/>
    </xf>
    <xf numFmtId="0" fontId="52" fillId="7" borderId="35" xfId="6" applyFont="1" applyFill="1" applyBorder="1" applyAlignment="1">
      <alignment horizontal="right" vertical="center" wrapText="1"/>
    </xf>
    <xf numFmtId="0" fontId="52" fillId="7" borderId="35" xfId="6" applyFont="1" applyFill="1" applyBorder="1" applyAlignment="1">
      <alignment horizontal="right" wrapText="1"/>
    </xf>
    <xf numFmtId="165" fontId="47" fillId="7" borderId="29" xfId="6" applyNumberFormat="1" applyFont="1" applyFill="1" applyBorder="1" applyAlignment="1">
      <alignment horizontal="right" wrapText="1"/>
    </xf>
    <xf numFmtId="0" fontId="47" fillId="7" borderId="35" xfId="6" applyFont="1" applyFill="1" applyBorder="1" applyAlignment="1">
      <alignment horizontal="left" wrapText="1"/>
    </xf>
    <xf numFmtId="3" fontId="47" fillId="7" borderId="35" xfId="6" applyNumberFormat="1" applyFont="1" applyFill="1" applyBorder="1" applyAlignment="1">
      <alignment horizontal="right" wrapText="1"/>
    </xf>
    <xf numFmtId="165" fontId="47" fillId="7" borderId="35" xfId="6" applyNumberFormat="1" applyFont="1" applyFill="1" applyBorder="1" applyAlignment="1">
      <alignment horizontal="right" wrapText="1"/>
    </xf>
    <xf numFmtId="0" fontId="47" fillId="7" borderId="33" xfId="6" applyFont="1" applyFill="1" applyBorder="1" applyAlignment="1">
      <alignment horizontal="left" wrapText="1"/>
    </xf>
    <xf numFmtId="165" fontId="47" fillId="7" borderId="33" xfId="6" applyNumberFormat="1" applyFont="1" applyFill="1" applyBorder="1" applyAlignment="1">
      <alignment horizontal="right" wrapText="1"/>
    </xf>
    <xf numFmtId="0" fontId="52" fillId="7" borderId="36" xfId="6" applyFont="1" applyFill="1" applyBorder="1" applyAlignment="1">
      <alignment horizontal="right" wrapText="1"/>
    </xf>
    <xf numFmtId="165" fontId="47" fillId="7" borderId="37" xfId="6" applyNumberFormat="1" applyFont="1" applyFill="1" applyBorder="1" applyAlignment="1">
      <alignment horizontal="right" wrapText="1"/>
    </xf>
    <xf numFmtId="165" fontId="47" fillId="7" borderId="36" xfId="6" applyNumberFormat="1" applyFont="1" applyFill="1" applyBorder="1" applyAlignment="1">
      <alignment horizontal="right" wrapText="1"/>
    </xf>
    <xf numFmtId="0" fontId="47" fillId="7" borderId="35" xfId="6" applyFont="1" applyFill="1" applyBorder="1" applyAlignment="1">
      <alignment horizontal="right" wrapText="1"/>
    </xf>
    <xf numFmtId="0" fontId="47" fillId="10" borderId="38" xfId="6" applyFont="1" applyFill="1" applyBorder="1" applyAlignment="1">
      <alignment horizontal="left" wrapText="1"/>
    </xf>
    <xf numFmtId="0" fontId="47" fillId="10" borderId="38" xfId="6" applyFont="1" applyFill="1" applyBorder="1" applyAlignment="1">
      <alignment horizontal="right" wrapText="1"/>
    </xf>
    <xf numFmtId="169" fontId="47" fillId="10" borderId="38" xfId="6" applyNumberFormat="1" applyFont="1" applyFill="1" applyBorder="1" applyAlignment="1">
      <alignment horizontal="right" wrapText="1"/>
    </xf>
    <xf numFmtId="0" fontId="47" fillId="10" borderId="39" xfId="6" applyFont="1" applyFill="1" applyBorder="1" applyAlignment="1">
      <alignment horizontal="right" wrapText="1"/>
    </xf>
    <xf numFmtId="3" fontId="47" fillId="10" borderId="38" xfId="6" applyNumberFormat="1" applyFont="1" applyFill="1" applyBorder="1" applyAlignment="1">
      <alignment horizontal="right" wrapText="1"/>
    </xf>
    <xf numFmtId="3" fontId="47" fillId="10" borderId="39" xfId="6" applyNumberFormat="1" applyFont="1" applyFill="1" applyBorder="1" applyAlignment="1">
      <alignment horizontal="right" wrapText="1"/>
    </xf>
    <xf numFmtId="0" fontId="47" fillId="7" borderId="29" xfId="6" applyFont="1" applyFill="1" applyBorder="1" applyAlignment="1">
      <alignment horizontal="center" wrapText="1"/>
    </xf>
    <xf numFmtId="0" fontId="59" fillId="7" borderId="0" xfId="6" applyFont="1" applyFill="1" applyBorder="1" applyAlignment="1">
      <alignment horizontal="left"/>
    </xf>
    <xf numFmtId="0" fontId="52" fillId="7" borderId="40" xfId="6" applyFont="1" applyFill="1" applyBorder="1" applyAlignment="1">
      <alignment horizontal="right" wrapText="1"/>
    </xf>
    <xf numFmtId="0" fontId="47" fillId="7" borderId="40" xfId="6" applyFont="1" applyFill="1" applyBorder="1" applyAlignment="1">
      <alignment horizontal="left" wrapText="1"/>
    </xf>
    <xf numFmtId="3" fontId="47" fillId="7" borderId="40" xfId="6" applyNumberFormat="1" applyFont="1" applyFill="1" applyBorder="1" applyAlignment="1">
      <alignment horizontal="right" wrapText="1"/>
    </xf>
    <xf numFmtId="0" fontId="47" fillId="7" borderId="41" xfId="6" applyFont="1" applyFill="1" applyBorder="1" applyAlignment="1">
      <alignment horizontal="left" wrapText="1"/>
    </xf>
    <xf numFmtId="3" fontId="47" fillId="7" borderId="41" xfId="6" applyNumberFormat="1" applyFont="1" applyFill="1" applyBorder="1" applyAlignment="1">
      <alignment horizontal="right" wrapText="1"/>
    </xf>
    <xf numFmtId="0" fontId="47" fillId="7" borderId="41" xfId="6" applyFont="1" applyFill="1" applyBorder="1" applyAlignment="1">
      <alignment horizontal="right" wrapText="1"/>
    </xf>
    <xf numFmtId="0" fontId="60" fillId="7" borderId="0" xfId="6" applyFont="1" applyFill="1" applyBorder="1" applyAlignment="1">
      <alignment horizontal="left"/>
    </xf>
    <xf numFmtId="0" fontId="50" fillId="7" borderId="0" xfId="6" applyFont="1" applyFill="1" applyBorder="1" applyAlignment="1">
      <alignment horizontal="left"/>
    </xf>
    <xf numFmtId="169" fontId="47" fillId="7" borderId="40" xfId="6" applyNumberFormat="1" applyFont="1" applyFill="1" applyBorder="1" applyAlignment="1">
      <alignment horizontal="right" wrapText="1"/>
    </xf>
    <xf numFmtId="169" fontId="47" fillId="7" borderId="41" xfId="6" applyNumberFormat="1" applyFont="1" applyFill="1" applyBorder="1" applyAlignment="1">
      <alignment horizontal="right" wrapText="1"/>
    </xf>
    <xf numFmtId="0" fontId="12" fillId="2" borderId="0" xfId="3" applyFont="1" applyFill="1" applyBorder="1"/>
    <xf numFmtId="10" fontId="14" fillId="2" borderId="0" xfId="3" applyNumberFormat="1" applyFont="1" applyFill="1" applyBorder="1" applyAlignment="1" applyProtection="1">
      <alignment horizontal="center"/>
    </xf>
    <xf numFmtId="0" fontId="21" fillId="2" borderId="7" xfId="3" applyFont="1" applyFill="1" applyBorder="1" applyAlignment="1">
      <alignment horizontal="left" wrapText="1"/>
    </xf>
    <xf numFmtId="0" fontId="11" fillId="2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center"/>
    </xf>
    <xf numFmtId="0" fontId="21" fillId="2" borderId="12" xfId="3" applyFont="1" applyFill="1" applyBorder="1" applyAlignment="1">
      <alignment horizontal="left" wrapText="1"/>
    </xf>
    <xf numFmtId="0" fontId="28" fillId="2" borderId="0" xfId="3" applyFont="1" applyFill="1" applyBorder="1" applyAlignment="1">
      <alignment horizontal="center" vertical="center"/>
    </xf>
    <xf numFmtId="0" fontId="31" fillId="2" borderId="14" xfId="3" applyFont="1" applyFill="1" applyBorder="1" applyAlignment="1">
      <alignment horizontal="center" vertical="center"/>
    </xf>
    <xf numFmtId="0" fontId="31" fillId="2" borderId="15" xfId="3" applyFont="1" applyFill="1" applyBorder="1" applyAlignment="1">
      <alignment horizontal="center" vertical="center"/>
    </xf>
    <xf numFmtId="0" fontId="31" fillId="2" borderId="16" xfId="3" applyFont="1" applyFill="1" applyBorder="1" applyAlignment="1">
      <alignment horizontal="center" vertical="center"/>
    </xf>
    <xf numFmtId="0" fontId="42" fillId="2" borderId="0" xfId="3" applyFont="1" applyFill="1" applyBorder="1" applyAlignment="1">
      <alignment horizontal="center" vertical="center"/>
    </xf>
    <xf numFmtId="0" fontId="43" fillId="2" borderId="12" xfId="3" applyFont="1" applyFill="1" applyBorder="1" applyAlignment="1">
      <alignment horizontal="left" wrapText="1"/>
    </xf>
    <xf numFmtId="0" fontId="51" fillId="8" borderId="27" xfId="6" applyFont="1" applyFill="1" applyBorder="1" applyAlignment="1">
      <alignment horizontal="left" wrapText="1"/>
    </xf>
    <xf numFmtId="0" fontId="51" fillId="8" borderId="27" xfId="6" applyFont="1" applyFill="1" applyBorder="1" applyAlignment="1">
      <alignment horizontal="left"/>
    </xf>
    <xf numFmtId="0" fontId="52" fillId="8" borderId="27" xfId="6" applyFont="1" applyFill="1" applyBorder="1" applyAlignment="1">
      <alignment horizontal="center" wrapText="1"/>
    </xf>
    <xf numFmtId="0" fontId="52" fillId="8" borderId="28" xfId="6" applyFont="1" applyFill="1" applyBorder="1" applyAlignment="1">
      <alignment horizontal="center" wrapText="1"/>
    </xf>
    <xf numFmtId="0" fontId="47" fillId="9" borderId="31" xfId="6" applyFont="1" applyFill="1" applyBorder="1" applyAlignment="1">
      <alignment horizontal="left" wrapText="1"/>
    </xf>
    <xf numFmtId="0" fontId="47" fillId="7" borderId="33" xfId="6" applyFont="1" applyFill="1" applyBorder="1" applyAlignment="1">
      <alignment horizontal="left" wrapText="1"/>
    </xf>
    <xf numFmtId="0" fontId="51" fillId="8" borderId="35" xfId="6" applyFont="1" applyFill="1" applyBorder="1" applyAlignment="1">
      <alignment horizontal="left" wrapText="1"/>
    </xf>
    <xf numFmtId="0" fontId="51" fillId="7" borderId="29" xfId="6" applyFont="1" applyFill="1" applyBorder="1" applyAlignment="1">
      <alignment horizontal="left" wrapText="1"/>
    </xf>
    <xf numFmtId="0" fontId="52" fillId="7" borderId="29" xfId="6" applyFont="1" applyFill="1" applyBorder="1" applyAlignment="1">
      <alignment horizontal="center" vertical="center" wrapText="1"/>
    </xf>
    <xf numFmtId="0" fontId="50" fillId="7" borderId="29" xfId="6" applyFont="1" applyFill="1" applyBorder="1" applyAlignment="1">
      <alignment horizontal="left" wrapText="1"/>
    </xf>
    <xf numFmtId="0" fontId="52" fillId="7" borderId="36" xfId="6" applyFont="1" applyFill="1" applyBorder="1" applyAlignment="1">
      <alignment horizontal="center" wrapText="1"/>
    </xf>
    <xf numFmtId="0" fontId="52" fillId="7" borderId="35" xfId="6" applyFont="1" applyFill="1" applyBorder="1" applyAlignment="1">
      <alignment horizontal="center" wrapText="1"/>
    </xf>
    <xf numFmtId="0" fontId="52" fillId="7" borderId="37" xfId="6" applyFont="1" applyFill="1" applyBorder="1" applyAlignment="1">
      <alignment horizontal="center" vertical="center" wrapText="1"/>
    </xf>
    <xf numFmtId="0" fontId="52" fillId="8" borderId="27" xfId="6" applyFont="1" applyFill="1" applyBorder="1" applyAlignment="1">
      <alignment horizontal="right" wrapText="1"/>
    </xf>
    <xf numFmtId="0" fontId="52" fillId="8" borderId="27" xfId="6" applyFont="1" applyFill="1" applyBorder="1" applyAlignment="1">
      <alignment horizontal="right"/>
    </xf>
    <xf numFmtId="0" fontId="52" fillId="8" borderId="28" xfId="6" applyFont="1" applyFill="1" applyBorder="1" applyAlignment="1">
      <alignment horizontal="right" wrapText="1"/>
    </xf>
    <xf numFmtId="0" fontId="52" fillId="8" borderId="28" xfId="6" applyFont="1" applyFill="1" applyBorder="1" applyAlignment="1">
      <alignment horizontal="right"/>
    </xf>
    <xf numFmtId="0" fontId="47" fillId="7" borderId="29" xfId="6" applyFont="1" applyFill="1" applyBorder="1" applyAlignment="1">
      <alignment horizontal="left" wrapText="1"/>
    </xf>
    <xf numFmtId="3" fontId="47" fillId="7" borderId="29" xfId="6" applyNumberFormat="1" applyFont="1" applyFill="1" applyBorder="1" applyAlignment="1">
      <alignment horizontal="right" wrapText="1"/>
    </xf>
    <xf numFmtId="0" fontId="47" fillId="7" borderId="29" xfId="6" applyFont="1" applyFill="1" applyBorder="1" applyAlignment="1">
      <alignment horizontal="right" wrapText="1"/>
    </xf>
    <xf numFmtId="3" fontId="47" fillId="7" borderId="33" xfId="6" applyNumberFormat="1" applyFont="1" applyFill="1" applyBorder="1" applyAlignment="1">
      <alignment horizontal="right" wrapText="1"/>
    </xf>
    <xf numFmtId="0" fontId="47" fillId="7" borderId="33" xfId="6" applyFont="1" applyFill="1" applyBorder="1" applyAlignment="1">
      <alignment horizontal="right" wrapText="1"/>
    </xf>
    <xf numFmtId="0" fontId="57" fillId="7" borderId="29" xfId="6" applyFont="1" applyFill="1" applyBorder="1" applyAlignment="1">
      <alignment horizontal="left" wrapText="1"/>
    </xf>
    <xf numFmtId="0" fontId="58" fillId="7" borderId="29" xfId="6" applyFont="1" applyFill="1" applyBorder="1" applyAlignment="1">
      <alignment horizontal="left" wrapText="1"/>
    </xf>
    <xf numFmtId="169" fontId="47" fillId="7" borderId="29" xfId="6" applyNumberFormat="1" applyFont="1" applyFill="1" applyBorder="1" applyAlignment="1">
      <alignment horizontal="right" wrapText="1"/>
    </xf>
    <xf numFmtId="169" fontId="47" fillId="7" borderId="33" xfId="6" applyNumberFormat="1" applyFont="1" applyFill="1" applyBorder="1" applyAlignment="1">
      <alignment horizontal="right" wrapText="1"/>
    </xf>
    <xf numFmtId="0" fontId="52" fillId="7" borderId="29" xfId="6" applyFont="1" applyFill="1" applyBorder="1" applyAlignment="1">
      <alignment horizontal="center" wrapText="1"/>
    </xf>
    <xf numFmtId="0" fontId="51" fillId="8" borderId="40" xfId="6" applyFont="1" applyFill="1" applyBorder="1" applyAlignment="1">
      <alignment horizontal="left" wrapTex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3" xfId="6" xr:uid="{00000000-0005-0000-0000-000003000000}"/>
    <cellStyle name="Normal 6 2" xfId="4" xr:uid="{00000000-0005-0000-0000-000004000000}"/>
    <cellStyle name="Normal 7" xfId="5" xr:uid="{00000000-0005-0000-0000-000005000000}"/>
    <cellStyle name="Percent" xfId="2" builtinId="5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EA-4DC2-B8A6-C93E635467E1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4EA-4DC2-B8A6-C93E635467E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A-4DC2-B8A6-C93E635467E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A-4DC2-B8A6-C93E635467E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A-4DC2-B8A6-C93E635467E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A-4DC2-B8A6-C93E635467E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EA-4DC2-B8A6-C93E635467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680"/>
        <c:axId val="369539896"/>
      </c:barChart>
      <c:catAx>
        <c:axId val="3695406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39896"/>
        <c:crosses val="autoZero"/>
        <c:auto val="1"/>
        <c:lblAlgn val="ctr"/>
        <c:lblOffset val="100"/>
        <c:noMultiLvlLbl val="0"/>
      </c:catAx>
      <c:valAx>
        <c:axId val="3695398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6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03-4718-B96B-154A1826392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3-4718-B96B-154A1826392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3-4718-B96B-154A1826392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3-4718-B96B-154A1826392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3-4718-B96B-154A1826392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703-4718-B96B-154A182639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03-4718-B96B-154A182639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288"/>
        <c:axId val="369541072"/>
      </c:barChart>
      <c:catAx>
        <c:axId val="369540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41072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3695410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2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D11AD86-E007-4365-8F8F-5812FB51F5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8AD-4673-AD2B-710CB81BAF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69311C5-932F-4C08-AFC0-9284750C3A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8AD-4673-AD2B-710CB81BAFFE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B1932A4D-4E5E-414B-A2F4-CD8982193061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8AD-4673-AD2B-710CB81BAFFE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516BFFAD-2CAE-4E2C-8200-648D0E5C4BBB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8AD-4673-AD2B-710CB81BAF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A7BEEC-D192-4554-81EC-21D6137568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006-4870-B70F-180D5344180B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'DASHBOARD-Demographics'!$D$42:$D$49</c:f>
              <c:strCache>
                <c:ptCount val="8"/>
                <c:pt idx="0">
                  <c:v>29 years
and under</c:v>
                </c:pt>
                <c:pt idx="1">
                  <c:v>30-39
years old</c:v>
                </c:pt>
                <c:pt idx="2">
                  <c:v>40-49
years old</c:v>
                </c:pt>
                <c:pt idx="3">
                  <c:v>50-59
years old</c:v>
                </c:pt>
                <c:pt idx="4">
                  <c:v>60 years
or older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5"/>
                <c:pt idx="0">
                  <c:v>0.02</c:v>
                </c:pt>
                <c:pt idx="1">
                  <c:v>0.15</c:v>
                </c:pt>
                <c:pt idx="2">
                  <c:v>0.23</c:v>
                </c:pt>
                <c:pt idx="3">
                  <c:v>0.39</c:v>
                </c:pt>
                <c:pt idx="4">
                  <c:v>0.2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'DASHBOARD-Demographics'!$E$42:$E$47</c15:f>
                <c15:dlblRangeCache>
                  <c:ptCount val="6"/>
                  <c:pt idx="0">
                    <c:v>2%</c:v>
                  </c:pt>
                  <c:pt idx="1">
                    <c:v>15%</c:v>
                  </c:pt>
                  <c:pt idx="2">
                    <c:v>23%</c:v>
                  </c:pt>
                  <c:pt idx="3">
                    <c:v>39%</c:v>
                  </c:pt>
                  <c:pt idx="4">
                    <c:v>20%</c:v>
                  </c:pt>
                  <c:pt idx="5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8AD-4673-AD2B-710CB81BA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369534800"/>
        <c:axId val="369535976"/>
      </c:barChart>
      <c:catAx>
        <c:axId val="3695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369535976"/>
        <c:crosses val="autoZero"/>
        <c:auto val="1"/>
        <c:lblAlgn val="ctr"/>
        <c:lblOffset val="50"/>
        <c:noMultiLvlLbl val="1"/>
      </c:catAx>
      <c:valAx>
        <c:axId val="369535976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369534800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0D4CAF5-5CE8-4EFD-B61E-3E8335A382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291-44E1-8368-9C984712A8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3EE73E9-1EA1-45EC-811F-7F9B1CF4E1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291-44E1-8368-9C984712A8C3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8F3FE732-BD8A-41B1-859E-940B043B192E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291-44E1-8368-9C984712A8C3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A4A4AA32-A166-46E9-985B-3E1818D3B812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291-44E1-8368-9C984712A8C3}"/>
                </c:ext>
              </c:extLst>
            </c:dLbl>
            <c:dLbl>
              <c:idx val="4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chemeClr val="tx1"/>
                        </a:solidFill>
                      </a:defRPr>
                    </a:pPr>
                    <a:fld id="{65992816-532C-429D-B1BC-8A7D040301A4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291-44E1-8368-9C984712A8C3}"/>
                </c:ext>
              </c:extLst>
            </c:dLbl>
            <c:dLbl>
              <c:idx val="5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5B980DBB-AEE0-48AC-8A66-B08FE2B01127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291-44E1-8368-9C984712A8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F0FD1B4-F2AF-4027-B530-1538E3475C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291-44E1-8368-9C984712A8C3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'DASHBOARD-Demographics'!$D$50:$D$56</c:f>
              <c:strCache>
                <c:ptCount val="7"/>
                <c:pt idx="0">
                  <c:v>Less than 1
year</c:v>
                </c:pt>
                <c:pt idx="1">
                  <c:v>1 to 3
years</c:v>
                </c:pt>
                <c:pt idx="2">
                  <c:v>4 to 5
years</c:v>
                </c:pt>
                <c:pt idx="3">
                  <c:v>6 to 10
years</c:v>
                </c:pt>
                <c:pt idx="4">
                  <c:v>11 to 14
years</c:v>
                </c:pt>
                <c:pt idx="5">
                  <c:v>15 to 20
years</c:v>
                </c:pt>
                <c:pt idx="6">
                  <c:v>More than 20
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7.0000000000000007E-2</c:v>
                </c:pt>
                <c:pt idx="3">
                  <c:v>0.15</c:v>
                </c:pt>
                <c:pt idx="4">
                  <c:v>0.2</c:v>
                </c:pt>
                <c:pt idx="5">
                  <c:v>0.15</c:v>
                </c:pt>
                <c:pt idx="6">
                  <c:v>0.32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'DASHBOARD-Demographics'!$E$50:$E$56</c15:f>
                <c15:dlblRangeCache>
                  <c:ptCount val="7"/>
                  <c:pt idx="0">
                    <c:v>1%</c:v>
                  </c:pt>
                  <c:pt idx="1">
                    <c:v>10%</c:v>
                  </c:pt>
                  <c:pt idx="2">
                    <c:v>7%</c:v>
                  </c:pt>
                  <c:pt idx="3">
                    <c:v>15%</c:v>
                  </c:pt>
                  <c:pt idx="4">
                    <c:v>20%</c:v>
                  </c:pt>
                  <c:pt idx="5">
                    <c:v>15%</c:v>
                  </c:pt>
                  <c:pt idx="6">
                    <c:v>32%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291-44E1-8368-9C984712A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409662584"/>
        <c:axId val="409663368"/>
      </c:barChart>
      <c:catAx>
        <c:axId val="40966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409663368"/>
        <c:crosses val="autoZero"/>
        <c:auto val="0"/>
        <c:lblAlgn val="ctr"/>
        <c:lblOffset val="50"/>
        <c:tickLblSkip val="1"/>
        <c:noMultiLvlLbl val="1"/>
      </c:catAx>
      <c:valAx>
        <c:axId val="40966336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409662584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8282-4AF2-817B-9DC318F89608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8282-4AF2-817B-9DC318F89608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8282-4AF2-817B-9DC318F89608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8282-4AF2-817B-9DC318F89608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8282-4AF2-817B-9DC318F89608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('DASHBOARD-Trending'!$X$11,'DASHBOARD-Trending'!$Z$11,'DASHBOARD-Trending'!$AB$11,'DASHBOARD-Trending'!$AD$11,'DASHBOARD-Trending'!$AF$11)</c:f>
              <c:numCache>
                <c:formatCode>\+####;\-####;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8282-4AF2-817B-9DC318F89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6112"/>
        <c:axId val="409663760"/>
      </c:barChart>
      <c:catAx>
        <c:axId val="409666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376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376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611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('DASHBOARD-Trending'!$X$12,'DASHBOARD-Trending'!$Z$12,'DASHBOARD-Trending'!$AB$12,'DASHBOARD-Trending'!$AD$12,'DASHBOARD-Trending'!$AF$12)</c:f>
              <c:numCache>
                <c:formatCode>\+####;\-####;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FCB-415F-BD21-9FE7CBF6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7288"/>
        <c:axId val="409665720"/>
      </c:barChart>
      <c:catAx>
        <c:axId val="409667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572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572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7288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1" val="0"/>
</file>

<file path=xl/ctrlProps/ctrlProp4.xml><?xml version="1.0" encoding="utf-8"?>
<formControlPr xmlns="http://schemas.microsoft.com/office/spreadsheetml/2009/9/main" objectType="List" dx="16" fmlaLink="$C$50" fmlaRange="$C$42:$C$44" sel="1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sel="1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chart" Target="../charts/chart1.xml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8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2" name="Picture 1" descr="The overall Treasury department Response Rate in 2020 was 55.8 perce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096359"/>
          <a:ext cx="3716484" cy="254213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3" name="Picture 2" descr="The total number of 2020 employee viewpoint surveys completed in 2020 was forty thousand, three hundred, and forty seven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32" y="2016166"/>
          <a:ext cx="3716484" cy="476190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4" name="Picture 3" descr="The 2020 FEVS survey began on September 15 and ended on October 2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636" y="1389917"/>
          <a:ext cx="3716484" cy="243956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5" name="Picture 4" descr="The 2020 FEVS survey was a Census, with all eligible employees receiving a survey.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71" y="1702044"/>
          <a:ext cx="3716484" cy="247619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6" name="Picture 5" descr="The total number of surveys sent to Treasury employees was seventy two thousand, two hundred, and ninety sev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98" y="2547571"/>
          <a:ext cx="3716484" cy="485715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491542" y="1387587"/>
          <a:ext cx="3715408" cy="1944574"/>
          <a:chOff x="509723" y="1383274"/>
          <a:chExt cx="3713210" cy="1954916"/>
        </a:xfrm>
      </xdr:grpSpPr>
      <xdr:sp macro="" textlink="$V$3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40,347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55.8%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72,297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Sept 15 - Oct 27, 2020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18" name="Rounded Rectangle 17">
          <a:extLst>
            <a:ext uri="{FF2B5EF4-FFF2-40B4-BE49-F238E27FC236}">
              <a16:creationId xmlns:a16="http://schemas.microsoft.com/office/drawing/2014/main" id="{00000000-0008-0000-0000-00001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509837" y="4514349"/>
          <a:ext cx="3726974" cy="2438400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19" name="Picture 18" descr="The 2020 FEVS positive percent for the Leaders Lead sub-index was sixty five percent.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5744225"/>
          <a:ext cx="1071426" cy="1008790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20" name="Picture 19" descr="The 2020 FEVS positive percent for the Supervisors sub-index was eighty three percent.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533" y="5744225"/>
          <a:ext cx="1074356" cy="1009523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21" name="Picture 20" descr="The 2020 FEVS positive percent for the Intrinsic Work Experience sub-index was seventy seven percent.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761" y="5744225"/>
          <a:ext cx="1071426" cy="1009523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22" name="Picture 21" descr="The 2020 FEVS positive percent for the overall all Employee Engagement index seventy five percent.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4886325"/>
          <a:ext cx="3435520" cy="686077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23" name="Rounded Rectangle 22" descr="This box allows the user to selectively view highlights of Treasury's 2020 FEVS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4" name="Rounded Rectangle 23" descr="This box permits users to selectively view highlights of Treasury's 2020 FEVS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612263" y="1581234"/>
          <a:ext cx="457200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26" name="Chart 25" descr="This section of the box displays the results of the user selection from the above drop down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247650</xdr:colOff>
          <xdr:row>6</xdr:row>
          <xdr:rowOff>123825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1025" name="Drop Down 1" descr="This drop down permits the user to select one of several highlights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889595" y="1273627"/>
          <a:ext cx="57531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616397" y="2087968"/>
          <a:ext cx="457200" cy="240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621567" y="260462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629565" y="3083372"/>
          <a:ext cx="457200" cy="231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627488" y="3580668"/>
          <a:ext cx="457200" cy="230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Q4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723900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9622</xdr:colOff>
      <xdr:row>0</xdr:row>
      <xdr:rowOff>196467</xdr:rowOff>
    </xdr:from>
    <xdr:to>
      <xdr:col>17</xdr:col>
      <xdr:colOff>175260</xdr:colOff>
      <xdr:row>6</xdr:row>
      <xdr:rowOff>45720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id="{00000000-0008-0000-0000-000029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209647" y="196467"/>
          <a:ext cx="10014488" cy="1030353"/>
          <a:chOff x="215362" y="196467"/>
          <a:chExt cx="10307858" cy="1053213"/>
        </a:xfrm>
      </xdr:grpSpPr>
      <xdr:pic>
        <xdr:nvPicPr>
          <xdr:cNvPr id="84" name="Picture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5362" y="196467"/>
            <a:ext cx="10307858" cy="995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TextBox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240663" y="887948"/>
            <a:ext cx="2796669" cy="3617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38" name="Rectangl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3677638" y="929640"/>
            <a:ext cx="6799862" cy="2678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Department of the Treasury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896878" y="4188389"/>
          <a:ext cx="575310" cy="247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257175</xdr:colOff>
          <xdr:row>22</xdr:row>
          <xdr:rowOff>66675</xdr:rowOff>
        </xdr:from>
        <xdr:to>
          <xdr:col>17</xdr:col>
          <xdr:colOff>9525</xdr:colOff>
          <xdr:row>23</xdr:row>
          <xdr:rowOff>85725</xdr:rowOff>
        </xdr:to>
        <xdr:sp macro="" textlink="">
          <xdr:nvSpPr>
            <xdr:cNvPr id="1026" name="Drop Down 2" descr="This drop down permits the user to make a selection of highlights from Treasury's 2020 FEVS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635020" y="4492512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Q10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631416" y="599408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Q26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636094" y="6507437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990685" y="1572929"/>
          <a:ext cx="3172968" cy="546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supports my need to balance work and other life issues.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990687" y="2082723"/>
          <a:ext cx="3172968" cy="544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treats me with respect.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990686" y="2604595"/>
          <a:ext cx="3172968" cy="519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know how my work relates to the agency's goals.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The people I work with cooperate to get the job done.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998970" y="3578813"/>
          <a:ext cx="3172968" cy="527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know what is expected of me on the job.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007251" y="4490527"/>
          <a:ext cx="3175453" cy="532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believe the results of this survey will be used to make my agency a better place to work.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182181</xdr:rowOff>
    </xdr:from>
    <xdr:to>
      <xdr:col>13</xdr:col>
      <xdr:colOff>590037</xdr:colOff>
      <xdr:row>30</xdr:row>
      <xdr:rowOff>33558</xdr:rowOff>
    </xdr:to>
    <xdr:sp macro="" textlink="$Q$56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997726" y="5489978"/>
          <a:ext cx="3175453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organization, senior leaders generate high levels of motivation and commitment in the workforce.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990686" y="5991470"/>
          <a:ext cx="3172968" cy="528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workload is reasonable.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990686" y="6502031"/>
          <a:ext cx="3172968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7" name="Chart 56" descr="This section displays the results of the 2020 Treasury FEVS based upon the selection in the above drop down.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8" name="Group 57" descr="Box informs the viewer the 28 items had positive ratings over 65% and so are considered a strength.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466005" y="3438521"/>
          <a:ext cx="1848123" cy="945273"/>
          <a:chOff x="376391" y="3619120"/>
          <a:chExt cx="1845167" cy="952880"/>
        </a:xfrm>
      </xdr:grpSpPr>
      <xdr:pic>
        <xdr:nvPicPr>
          <xdr:cNvPr id="59" name="Picture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60" name="TextBox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61" name="TextBox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28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62" name="Group 61" descr="This box informs the viewer that Treasury had no questions seen as challenges, defined as a question with a negative percent higher than thirty five.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448659" y="3448046"/>
          <a:ext cx="1844890" cy="946228"/>
          <a:chOff x="2447194" y="3450977"/>
          <a:chExt cx="1847088" cy="941832"/>
        </a:xfrm>
      </xdr:grpSpPr>
      <xdr:pic>
        <xdr:nvPicPr>
          <xdr:cNvPr id="63" name="Picture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64" name="Group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items identified as </a:t>
              </a:r>
              <a:r>
                <a:rPr lang="en-US" sz="1200" b="1" i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</a:p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(35% negative or higher)</a:t>
              </a:r>
            </a:p>
          </xdr:txBody>
        </xdr:sp>
        <xdr:sp macro="" textlink="$Z$3">
          <xdr:nvSpPr>
            <xdr:cNvPr id="66" name="TextBox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0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24583" y="4535720"/>
          <a:ext cx="2346099" cy="342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68" name="Group 67" descr="Overall Employee Engagement index was 75%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pSpPr/>
      </xdr:nvGrpSpPr>
      <xdr:grpSpPr>
        <a:xfrm>
          <a:off x="659496" y="4881812"/>
          <a:ext cx="3436631" cy="673838"/>
          <a:chOff x="1660696" y="4670648"/>
          <a:chExt cx="3440743" cy="679471"/>
        </a:xfrm>
      </xdr:grpSpPr>
      <xdr:sp macro="" textlink="$K$43">
        <xdr:nvSpPr>
          <xdr:cNvPr id="69" name="TextBox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2020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0" name="TextBox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75%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71" name="Group 70">
          <a:extLst>
            <a:ext uri="{FF2B5EF4-FFF2-40B4-BE49-F238E27FC236}">
              <a16:creationId xmlns:a16="http://schemas.microsoft.com/office/drawing/2014/main" id="{00000000-0008-0000-0000-00004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644843" y="5708785"/>
          <a:ext cx="3439292" cy="1075551"/>
          <a:chOff x="1173448" y="5743185"/>
          <a:chExt cx="3437094" cy="1075586"/>
        </a:xfrm>
      </xdr:grpSpPr>
      <xdr:sp macro="" textlink="$K$44">
        <xdr:nvSpPr>
          <xdr:cNvPr id="72" name="TextBox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3" name="TextBox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65%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4" name="TextBox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75" name="TextBox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83%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77" name="TextBox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77%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2</xdr:col>
      <xdr:colOff>38100</xdr:colOff>
      <xdr:row>5</xdr:row>
      <xdr:rowOff>167640</xdr:rowOff>
    </xdr:from>
    <xdr:to>
      <xdr:col>9</xdr:col>
      <xdr:colOff>180975</xdr:colOff>
      <xdr:row>7</xdr:row>
      <xdr:rowOff>7620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58140" y="1196340"/>
          <a:ext cx="4493895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Dashboard’s percent positive and negative results only include items 1-38, excluding item 11.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742821</xdr:colOff>
      <xdr:row>11</xdr:row>
      <xdr:rowOff>82096</xdr:rowOff>
    </xdr:from>
    <xdr:to>
      <xdr:col>16</xdr:col>
      <xdr:colOff>207516</xdr:colOff>
      <xdr:row>16</xdr:row>
      <xdr:rowOff>72571</xdr:rowOff>
    </xdr:to>
    <xdr:pic>
      <xdr:nvPicPr>
        <xdr:cNvPr id="2" name="Picture 1" descr="This box permits users to select and then display information on employee Agency Tenure, as provided by Treasury staff taking the FEVS surve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271" y="235857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6782</xdr:colOff>
      <xdr:row>11</xdr:row>
      <xdr:rowOff>98836</xdr:rowOff>
    </xdr:from>
    <xdr:to>
      <xdr:col>11</xdr:col>
      <xdr:colOff>233477</xdr:colOff>
      <xdr:row>16</xdr:row>
      <xdr:rowOff>89311</xdr:rowOff>
    </xdr:to>
    <xdr:pic>
      <xdr:nvPicPr>
        <xdr:cNvPr id="3" name="Picture 2" descr="Informs that, as of the date they took the survey, 34% of the staff are planning to retire within the next five years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0607" y="237531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11</xdr:row>
      <xdr:rowOff>104775</xdr:rowOff>
    </xdr:from>
    <xdr:to>
      <xdr:col>7</xdr:col>
      <xdr:colOff>17145</xdr:colOff>
      <xdr:row>16</xdr:row>
      <xdr:rowOff>95250</xdr:rowOff>
    </xdr:to>
    <xdr:pic>
      <xdr:nvPicPr>
        <xdr:cNvPr id="4" name="Picture 3" descr="Informs that, 13% of surveyed staff said they had prior military servic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381250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353315</xdr:colOff>
      <xdr:row>6</xdr:row>
      <xdr:rowOff>110405</xdr:rowOff>
    </xdr:from>
    <xdr:to>
      <xdr:col>7</xdr:col>
      <xdr:colOff>18035</xdr:colOff>
      <xdr:row>10</xdr:row>
      <xdr:rowOff>158030</xdr:rowOff>
    </xdr:to>
    <xdr:pic>
      <xdr:nvPicPr>
        <xdr:cNvPr id="5" name="Picture 4" descr="Informs that fifty eight percent of the survey taking the staff identified as Femal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665" y="1310555"/>
          <a:ext cx="2560320" cy="914400"/>
        </a:xfrm>
        <a:prstGeom prst="rect">
          <a:avLst/>
        </a:prstGeom>
      </xdr:spPr>
    </xdr:pic>
    <xdr:clientData/>
  </xdr:twoCellAnchor>
  <xdr:twoCellAnchor>
    <xdr:from>
      <xdr:col>3</xdr:col>
      <xdr:colOff>352424</xdr:colOff>
      <xdr:row>6</xdr:row>
      <xdr:rowOff>129455</xdr:rowOff>
    </xdr:from>
    <xdr:to>
      <xdr:col>7</xdr:col>
      <xdr:colOff>17144</xdr:colOff>
      <xdr:row>8</xdr:row>
      <xdr:rowOff>138980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66774" y="1329605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GENDER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555906</xdr:colOff>
      <xdr:row>8</xdr:row>
      <xdr:rowOff>149256</xdr:rowOff>
    </xdr:from>
    <xdr:to>
      <xdr:col>6</xdr:col>
      <xdr:colOff>559716</xdr:colOff>
      <xdr:row>10</xdr:row>
      <xdr:rowOff>159924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660806" y="1797081"/>
          <a:ext cx="1508760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Female</a:t>
          </a:r>
        </a:p>
      </xdr:txBody>
    </xdr:sp>
    <xdr:clientData/>
  </xdr:twoCellAnchor>
  <xdr:twoCellAnchor>
    <xdr:from>
      <xdr:col>8</xdr:col>
      <xdr:colOff>18145</xdr:colOff>
      <xdr:row>13</xdr:row>
      <xdr:rowOff>160246</xdr:rowOff>
    </xdr:from>
    <xdr:to>
      <xdr:col>9</xdr:col>
      <xdr:colOff>176641</xdr:colOff>
      <xdr:row>16</xdr:row>
      <xdr:rowOff>85189</xdr:rowOff>
    </xdr:to>
    <xdr:sp macro="" textlink="$AA$3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951970" y="2855821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E830D87A-402B-4193-85AB-4C579C5D9E38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34%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366643</xdr:colOff>
      <xdr:row>14</xdr:row>
      <xdr:rowOff>2554</xdr:rowOff>
    </xdr:from>
    <xdr:to>
      <xdr:col>4</xdr:col>
      <xdr:colOff>544189</xdr:colOff>
      <xdr:row>16</xdr:row>
      <xdr:rowOff>98947</xdr:rowOff>
    </xdr:to>
    <xdr:sp macro="" textlink="$Z$3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80993" y="2869579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B5C59C3C-5BE4-496B-9F07-A6E9DD2A01FD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13%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765033</xdr:colOff>
      <xdr:row>13</xdr:row>
      <xdr:rowOff>151217</xdr:rowOff>
    </xdr:from>
    <xdr:to>
      <xdr:col>13</xdr:col>
      <xdr:colOff>208830</xdr:colOff>
      <xdr:row>16</xdr:row>
      <xdr:rowOff>76160</xdr:rowOff>
    </xdr:to>
    <xdr:sp macro="" textlink="$AB$3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032483" y="2846792"/>
          <a:ext cx="76777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ACB1BA9-4028-423D-A040-9D7F62ABA2C1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23%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185014</xdr:colOff>
      <xdr:row>13</xdr:row>
      <xdr:rowOff>160304</xdr:rowOff>
    </xdr:from>
    <xdr:to>
      <xdr:col>10</xdr:col>
      <xdr:colOff>598399</xdr:colOff>
      <xdr:row>16</xdr:row>
      <xdr:rowOff>76926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728439" y="2855879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next five years</a:t>
          </a:r>
        </a:p>
      </xdr:txBody>
    </xdr:sp>
    <xdr:clientData/>
  </xdr:twoCellAnchor>
  <xdr:twoCellAnchor>
    <xdr:from>
      <xdr:col>4</xdr:col>
      <xdr:colOff>562791</xdr:colOff>
      <xdr:row>13</xdr:row>
      <xdr:rowOff>165622</xdr:rowOff>
    </xdr:from>
    <xdr:to>
      <xdr:col>6</xdr:col>
      <xdr:colOff>569203</xdr:colOff>
      <xdr:row>16</xdr:row>
      <xdr:rowOff>90565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667691" y="2861197"/>
          <a:ext cx="151136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Served</a:t>
          </a:r>
        </a:p>
      </xdr:txBody>
    </xdr:sp>
    <xdr:clientData/>
  </xdr:twoCellAnchor>
  <xdr:twoCellAnchor>
    <xdr:from>
      <xdr:col>13</xdr:col>
      <xdr:colOff>225762</xdr:colOff>
      <xdr:row>13</xdr:row>
      <xdr:rowOff>151017</xdr:rowOff>
    </xdr:from>
    <xdr:to>
      <xdr:col>15</xdr:col>
      <xdr:colOff>553422</xdr:colOff>
      <xdr:row>16</xdr:row>
      <xdr:rowOff>67639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817187" y="2846592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the next year</a:t>
          </a:r>
        </a:p>
      </xdr:txBody>
    </xdr:sp>
    <xdr:clientData/>
  </xdr:twoCellAnchor>
  <xdr:twoCellAnchor>
    <xdr:from>
      <xdr:col>3</xdr:col>
      <xdr:colOff>349682</xdr:colOff>
      <xdr:row>11</xdr:row>
      <xdr:rowOff>127411</xdr:rowOff>
    </xdr:from>
    <xdr:to>
      <xdr:col>7</xdr:col>
      <xdr:colOff>14402</xdr:colOff>
      <xdr:row>13</xdr:row>
      <xdr:rowOff>165511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64032" y="240388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MILITARY</a:t>
          </a:r>
          <a:r>
            <a:rPr lang="en-US" sz="1200" b="1" baseline="0">
              <a:solidFill>
                <a:schemeClr val="bg1"/>
              </a:solidFill>
            </a:rPr>
            <a:t> SERVICE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10248</xdr:colOff>
      <xdr:row>11</xdr:row>
      <xdr:rowOff>117884</xdr:rowOff>
    </xdr:from>
    <xdr:to>
      <xdr:col>11</xdr:col>
      <xdr:colOff>236943</xdr:colOff>
      <xdr:row>13</xdr:row>
      <xdr:rowOff>155984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944073" y="239435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RETIREMENT</a:t>
          </a: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AS OF TODAY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742820</xdr:colOff>
      <xdr:row>11</xdr:row>
      <xdr:rowOff>91621</xdr:rowOff>
    </xdr:from>
    <xdr:to>
      <xdr:col>16</xdr:col>
      <xdr:colOff>207515</xdr:colOff>
      <xdr:row>13</xdr:row>
      <xdr:rowOff>129721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010270" y="236809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bg1"/>
              </a:solidFill>
            </a:rPr>
            <a:t>PLAN</a:t>
          </a:r>
          <a:r>
            <a:rPr lang="en-US" sz="1200" b="1" baseline="0">
              <a:solidFill>
                <a:schemeClr val="bg1"/>
              </a:solidFill>
            </a:rPr>
            <a:t> TO LEAVE</a:t>
          </a:r>
          <a:r>
            <a:rPr lang="en-US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- AS OF TODAY</a:t>
          </a:r>
          <a:endParaRPr lang="en-US" sz="1200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3</xdr:col>
      <xdr:colOff>364371</xdr:colOff>
      <xdr:row>8</xdr:row>
      <xdr:rowOff>153640</xdr:rowOff>
    </xdr:from>
    <xdr:to>
      <xdr:col>4</xdr:col>
      <xdr:colOff>540769</xdr:colOff>
      <xdr:row>10</xdr:row>
      <xdr:rowOff>164308</xdr:rowOff>
    </xdr:to>
    <xdr:sp macro="" textlink="$U$3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878721" y="1801465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fld id="{8BC46AAB-530E-495F-96ED-131C2C9D4F32}" type="TxLink">
            <a:rPr lang="en-US" sz="2000" b="1" i="0" u="none" strike="noStrike">
              <a:solidFill>
                <a:srgbClr val="45525D"/>
              </a:solidFill>
              <a:latin typeface="+mn-lt"/>
              <a:cs typeface="Arial"/>
            </a:rPr>
            <a:pPr algn="ctr"/>
            <a:t>58%</a:t>
          </a:fld>
          <a:endParaRPr lang="en-US" sz="2000" b="1">
            <a:solidFill>
              <a:srgbClr val="45525D"/>
            </a:solidFill>
            <a:latin typeface="+mn-lt"/>
          </a:endParaRPr>
        </a:p>
      </xdr:txBody>
    </xdr: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18" name="Chart 17" descr="Informs that, as of the date they took the survey, 34% of the staff are planning to retire within the next five years.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19" name="Chart 18" descr="This box allows users to view information on Agency Tenure, based upon the selection in the drop down.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857250</xdr:colOff>
          <xdr:row>19</xdr:row>
          <xdr:rowOff>95250</xdr:rowOff>
        </xdr:from>
        <xdr:to>
          <xdr:col>11</xdr:col>
          <xdr:colOff>361950</xdr:colOff>
          <xdr:row>22</xdr:row>
          <xdr:rowOff>133350</xdr:rowOff>
        </xdr:to>
        <xdr:sp macro="" textlink="">
          <xdr:nvSpPr>
            <xdr:cNvPr id="2049" name="List Box 1" descr="This is the drop down for Agency Tenure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19</xdr:row>
          <xdr:rowOff>95250</xdr:rowOff>
        </xdr:from>
        <xdr:to>
          <xdr:col>4</xdr:col>
          <xdr:colOff>495300</xdr:colOff>
          <xdr:row>22</xdr:row>
          <xdr:rowOff>47625</xdr:rowOff>
        </xdr:to>
        <xdr:sp macro="" textlink="">
          <xdr:nvSpPr>
            <xdr:cNvPr id="2050" name="List Box 2" descr="This is the Drop Down for Age Group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26506</xdr:colOff>
      <xdr:row>4</xdr:row>
      <xdr:rowOff>46548</xdr:rowOff>
    </xdr:from>
    <xdr:to>
      <xdr:col>17</xdr:col>
      <xdr:colOff>86659</xdr:colOff>
      <xdr:row>6</xdr:row>
      <xdr:rowOff>12586</xdr:rowOff>
    </xdr:to>
    <xdr:grpSp>
      <xdr:nvGrpSpPr>
        <xdr:cNvPr id="20" name="Group 19" descr="This page displayed demographic data for Treasury employees that took the FEVS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226531" y="922848"/>
          <a:ext cx="9909003" cy="289888"/>
          <a:chOff x="217743" y="204155"/>
          <a:chExt cx="10317364" cy="997151"/>
        </a:xfrm>
      </xdr:grpSpPr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232246" y="929582"/>
            <a:ext cx="2788209" cy="2717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25" name="Rectangle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3656968" y="915228"/>
            <a:ext cx="6777651" cy="2717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Department of the Treasury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11</xdr:col>
      <xdr:colOff>733425</xdr:colOff>
      <xdr:row>6</xdr:row>
      <xdr:rowOff>123825</xdr:rowOff>
    </xdr:from>
    <xdr:to>
      <xdr:col>16</xdr:col>
      <xdr:colOff>198120</xdr:colOff>
      <xdr:row>10</xdr:row>
      <xdr:rowOff>171450</xdr:rowOff>
    </xdr:to>
    <xdr:pic>
      <xdr:nvPicPr>
        <xdr:cNvPr id="26" name="Picture 25" descr="Informs that, as of the date they took the survey, 22% of the staff worked at a Headquarters location.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323975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6</xdr:row>
      <xdr:rowOff>123825</xdr:rowOff>
    </xdr:from>
    <xdr:to>
      <xdr:col>11</xdr:col>
      <xdr:colOff>236220</xdr:colOff>
      <xdr:row>10</xdr:row>
      <xdr:rowOff>171450</xdr:rowOff>
    </xdr:to>
    <xdr:pic>
      <xdr:nvPicPr>
        <xdr:cNvPr id="27" name="Picture 26" descr="Informs that 11% of the staff identified as Hispanic, Latino, or Spanish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23975"/>
          <a:ext cx="2560320" cy="914400"/>
        </a:xfrm>
        <a:prstGeom prst="rect">
          <a:avLst/>
        </a:prstGeom>
      </xdr:spPr>
    </xdr:pic>
    <xdr:clientData/>
  </xdr:twoCellAnchor>
  <xdr:twoCellAnchor>
    <xdr:from>
      <xdr:col>8</xdr:col>
      <xdr:colOff>6781</xdr:colOff>
      <xdr:row>6</xdr:row>
      <xdr:rowOff>145402</xdr:rowOff>
    </xdr:from>
    <xdr:to>
      <xdr:col>11</xdr:col>
      <xdr:colOff>233476</xdr:colOff>
      <xdr:row>8</xdr:row>
      <xdr:rowOff>154927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940606" y="1345552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HISPANIC,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LATINO, OR SPANISH</a:t>
          </a:r>
        </a:p>
      </xdr:txBody>
    </xdr:sp>
    <xdr:clientData/>
  </xdr:twoCellAnchor>
  <xdr:twoCellAnchor>
    <xdr:from>
      <xdr:col>9</xdr:col>
      <xdr:colOff>179193</xdr:colOff>
      <xdr:row>8</xdr:row>
      <xdr:rowOff>170619</xdr:rowOff>
    </xdr:from>
    <xdr:to>
      <xdr:col>11</xdr:col>
      <xdr:colOff>247650</xdr:colOff>
      <xdr:row>10</xdr:row>
      <xdr:rowOff>171259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722618" y="1818444"/>
          <a:ext cx="1792482" cy="419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Hispanic,</a:t>
          </a:r>
          <a:r>
            <a:rPr lang="en-US" sz="1100" b="1" i="0" u="none" strike="noStrike" baseline="0">
              <a:solidFill>
                <a:srgbClr val="45525D"/>
              </a:solidFill>
              <a:latin typeface="+mn-lt"/>
              <a:ea typeface="+mn-ea"/>
              <a:cs typeface="Arial"/>
            </a:rPr>
            <a:t> </a:t>
          </a:r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Latino, or Spanish</a:t>
          </a:r>
        </a:p>
      </xdr:txBody>
    </xdr:sp>
    <xdr:clientData/>
  </xdr:twoCellAnchor>
  <xdr:twoCellAnchor>
    <xdr:from>
      <xdr:col>8</xdr:col>
      <xdr:colOff>26916</xdr:colOff>
      <xdr:row>8</xdr:row>
      <xdr:rowOff>164565</xdr:rowOff>
    </xdr:from>
    <xdr:to>
      <xdr:col>9</xdr:col>
      <xdr:colOff>185412</xdr:colOff>
      <xdr:row>10</xdr:row>
      <xdr:rowOff>172557</xdr:rowOff>
    </xdr:to>
    <xdr:sp macro="" textlink="$V$3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3960741" y="1812390"/>
          <a:ext cx="768096" cy="4270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2656A883-C566-46B4-BD0A-26B53EF58D0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11%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742950</xdr:colOff>
      <xdr:row>8</xdr:row>
      <xdr:rowOff>156797</xdr:rowOff>
    </xdr:from>
    <xdr:to>
      <xdr:col>13</xdr:col>
      <xdr:colOff>185923</xdr:colOff>
      <xdr:row>10</xdr:row>
      <xdr:rowOff>167465</xdr:rowOff>
    </xdr:to>
    <xdr:sp macro="" textlink="$Y$3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7010400" y="1804622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77A2BC7A-CF0C-4CEC-96C5-6315044DFF5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22%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212345</xdr:colOff>
      <xdr:row>8</xdr:row>
      <xdr:rowOff>155130</xdr:rowOff>
    </xdr:from>
    <xdr:to>
      <xdr:col>15</xdr:col>
      <xdr:colOff>540005</xdr:colOff>
      <xdr:row>10</xdr:row>
      <xdr:rowOff>161535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7803770" y="1802955"/>
          <a:ext cx="1508760" cy="4255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Headquarters</a:t>
          </a:r>
        </a:p>
      </xdr:txBody>
    </xdr:sp>
    <xdr:clientData/>
  </xdr:twoCellAnchor>
  <xdr:twoCellAnchor>
    <xdr:from>
      <xdr:col>11</xdr:col>
      <xdr:colOff>736742</xdr:colOff>
      <xdr:row>6</xdr:row>
      <xdr:rowOff>152399</xdr:rowOff>
    </xdr:from>
    <xdr:to>
      <xdr:col>16</xdr:col>
      <xdr:colOff>201437</xdr:colOff>
      <xdr:row>8</xdr:row>
      <xdr:rowOff>161924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7004192" y="135254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LOCATION</a:t>
          </a:r>
        </a:p>
      </xdr:txBody>
    </xdr:sp>
    <xdr:clientData/>
  </xdr:twoCellAnchor>
  <xdr:twoCellAnchor>
    <xdr:from>
      <xdr:col>1</xdr:col>
      <xdr:colOff>7620</xdr:colOff>
      <xdr:row>1</xdr:row>
      <xdr:rowOff>7620</xdr:rowOff>
    </xdr:from>
    <xdr:to>
      <xdr:col>17</xdr:col>
      <xdr:colOff>173258</xdr:colOff>
      <xdr:row>6</xdr:row>
      <xdr:rowOff>70233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100-00001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207645" y="207645"/>
          <a:ext cx="10014488" cy="1062738"/>
          <a:chOff x="213360" y="205740"/>
          <a:chExt cx="10307858" cy="1053213"/>
        </a:xfrm>
      </xdr:grpSpPr>
      <xdr:pic>
        <xdr:nvPicPr>
          <xdr:cNvPr id="44" name="Picture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3360" y="205740"/>
            <a:ext cx="10307858" cy="995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 txBox="1"/>
        </xdr:nvSpPr>
        <xdr:spPr>
          <a:xfrm>
            <a:off x="238661" y="897221"/>
            <a:ext cx="2796669" cy="3617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46" name="Rectangle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>
          <a:xfrm>
            <a:off x="3675636" y="938913"/>
            <a:ext cx="6799862" cy="2678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Department of the Treasury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'DASHBOARD-Demographics'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'DASHBOARD-Demographics'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" name="Rectangle 1" descr="Displays FEVS question results, based upon the selection made in the drop down bo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649534" y="6509584"/>
          <a:ext cx="5304604" cy="5401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3" name="Rectangle 2" descr="Displays FEVS question results, based upon the selection made in the drop down box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649534" y="5469620"/>
          <a:ext cx="5304604" cy="53377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4" name="Rectangle 3" descr="Displays FEVS question results, based upon the selection made in the drop down box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649534" y="4446842"/>
          <a:ext cx="5301246" cy="52559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5" name="Group 4" descr="Displays trends over the past four years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6100741" y="4195763"/>
          <a:ext cx="1787453" cy="2720573"/>
          <a:chOff x="6167441" y="1201916"/>
          <a:chExt cx="1791130" cy="2643467"/>
        </a:xfrm>
      </xdr:grpSpPr>
      <xdr:sp macro="" textlink="$AE$21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2018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0" name="Text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1" name="TextBox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2" name="TextBox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3" name="Text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2019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200-000023000000}"/>
                </a:ext>
              </a:extLst>
            </xdr:cNvPr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200-000024000000}"/>
                </a:ext>
              </a:extLst>
            </xdr:cNvPr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2020	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200-000025000000}"/>
                </a:ext>
              </a:extLst>
            </xdr:cNvPr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200-000026000000}"/>
                </a:ext>
              </a:extLst>
            </xdr:cNvPr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200-000028000000}"/>
                </a:ext>
              </a:extLst>
            </xdr:cNvPr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200-000030000000}"/>
                </a:ext>
              </a:extLst>
            </xdr:cNvPr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49" name="Rectangle 48" descr="Displays FEVS question results, based upon the selection made in the drop down box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2655343" y="3513592"/>
          <a:ext cx="5304604" cy="54205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50" name="Rectangle 49" descr="Displays FEVS question results, based upon the selection made in the drop down box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2655343" y="2486328"/>
          <a:ext cx="5304604" cy="52742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1" name="Rectangle 50" descr="Displays FEVS question results, based upon the selection made in the drop down box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2655343" y="1463177"/>
          <a:ext cx="5301246" cy="519618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52" name="Group 51" descr="Displays trend data, based upon the questions displayed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/>
      </xdr:nvGrpSpPr>
      <xdr:grpSpPr>
        <a:xfrm>
          <a:off x="6106550" y="1214338"/>
          <a:ext cx="1787453" cy="2706006"/>
          <a:chOff x="6167441" y="1201916"/>
          <a:chExt cx="1791130" cy="2643467"/>
        </a:xfrm>
      </xdr:grpSpPr>
      <xdr:sp macro="" textlink="$AE$16">
        <xdr:nvSpPr>
          <xdr:cNvPr id="53" name="TextBox 5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54" name="TextBox 5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55" name="TextBox 5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56" name="TextBox 5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57" name="TextBox 5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58" name="TextBox 5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59" name="TextBox 5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60" name="TextBox 5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61" name="TextBox 6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41%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62" name="TextBox 61"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54%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63" name="TextBox 62">
            <a:extLst>
              <a:ext uri="{FF2B5EF4-FFF2-40B4-BE49-F238E27FC236}">
                <a16:creationId xmlns:a16="http://schemas.microsoft.com/office/drawing/2014/main" id="{00000000-0008-0000-0200-00003F000000}"/>
              </a:ext>
            </a:extLst>
          </xdr:cNvPr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60%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64" name="TextBox 63"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44%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65" name="TextBox 64">
            <a:extLst>
              <a:ext uri="{FF2B5EF4-FFF2-40B4-BE49-F238E27FC236}">
                <a16:creationId xmlns:a16="http://schemas.microsoft.com/office/drawing/2014/main" id="{00000000-0008-0000-0200-000041000000}"/>
              </a:ext>
            </a:extLst>
          </xdr:cNvPr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66" name="TextBox 65">
            <a:extLst>
              <a:ext uri="{FF2B5EF4-FFF2-40B4-BE49-F238E27FC236}">
                <a16:creationId xmlns:a16="http://schemas.microsoft.com/office/drawing/2014/main" id="{00000000-0008-0000-0200-000042000000}"/>
              </a:ext>
            </a:extLst>
          </xdr:cNvPr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2018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67" name="TextBox 66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68" name="TextBox 67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69" name="TextBox 68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70" name="TextBox 69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37%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71" name="Group 70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72" name="TextBox 71">
              <a:extLst>
                <a:ext uri="{FF2B5EF4-FFF2-40B4-BE49-F238E27FC236}">
                  <a16:creationId xmlns:a16="http://schemas.microsoft.com/office/drawing/2014/main" id="{00000000-0008-0000-0200-000048000000}"/>
                </a:ext>
              </a:extLst>
            </xdr:cNvPr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73" name="TextBox 72">
              <a:extLst>
                <a:ext uri="{FF2B5EF4-FFF2-40B4-BE49-F238E27FC236}">
                  <a16:creationId xmlns:a16="http://schemas.microsoft.com/office/drawing/2014/main" id="{00000000-0008-0000-0200-000049000000}"/>
                </a:ext>
              </a:extLst>
            </xdr:cNvPr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74" name="TextBox 73">
              <a:extLst>
                <a:ext uri="{FF2B5EF4-FFF2-40B4-BE49-F238E27FC236}">
                  <a16:creationId xmlns:a16="http://schemas.microsoft.com/office/drawing/2014/main" id="{00000000-0008-0000-0200-00004A000000}"/>
                </a:ext>
              </a:extLst>
            </xdr:cNvPr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54%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75" name="TextBox 74">
              <a:extLst>
                <a:ext uri="{FF2B5EF4-FFF2-40B4-BE49-F238E27FC236}">
                  <a16:creationId xmlns:a16="http://schemas.microsoft.com/office/drawing/2014/main" id="{00000000-0008-0000-0200-00004B000000}"/>
                </a:ext>
              </a:extLst>
            </xdr:cNvPr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66%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76" name="TextBox 75">
              <a:extLst>
                <a:ext uri="{FF2B5EF4-FFF2-40B4-BE49-F238E27FC236}">
                  <a16:creationId xmlns:a16="http://schemas.microsoft.com/office/drawing/2014/main" id="{00000000-0008-0000-0200-00004C000000}"/>
                </a:ext>
              </a:extLst>
            </xdr:cNvPr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77" name="TextBox 76">
              <a:extLst>
                <a:ext uri="{FF2B5EF4-FFF2-40B4-BE49-F238E27FC236}">
                  <a16:creationId xmlns:a16="http://schemas.microsoft.com/office/drawing/2014/main" id="{00000000-0008-0000-0200-00004D000000}"/>
                </a:ext>
              </a:extLst>
            </xdr:cNvPr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78" name="TextBox 77">
              <a:extLst>
                <a:ext uri="{FF2B5EF4-FFF2-40B4-BE49-F238E27FC236}">
                  <a16:creationId xmlns:a16="http://schemas.microsoft.com/office/drawing/2014/main" id="{00000000-0008-0000-0200-00004E000000}"/>
                </a:ext>
              </a:extLst>
            </xdr:cNvPr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70%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79" name="TextBox 78">
              <a:extLst>
                <a:ext uri="{FF2B5EF4-FFF2-40B4-BE49-F238E27FC236}">
                  <a16:creationId xmlns:a16="http://schemas.microsoft.com/office/drawing/2014/main" id="{00000000-0008-0000-0200-00004F000000}"/>
                </a:ext>
              </a:extLst>
            </xdr:cNvPr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54%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80" name="TextBox 79">
              <a:extLst>
                <a:ext uri="{FF2B5EF4-FFF2-40B4-BE49-F238E27FC236}">
                  <a16:creationId xmlns:a16="http://schemas.microsoft.com/office/drawing/2014/main" id="{00000000-0008-0000-0200-000050000000}"/>
                </a:ext>
              </a:extLst>
            </xdr:cNvPr>
            <xdr:cNvSpPr txBox="1"/>
          </xdr:nvSpPr>
          <xdr:spPr>
            <a:xfrm>
              <a:off x="61728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81" name="TextBox 80">
              <a:extLst>
                <a:ext uri="{FF2B5EF4-FFF2-40B4-BE49-F238E27FC236}">
                  <a16:creationId xmlns:a16="http://schemas.microsoft.com/office/drawing/2014/main" id="{00000000-0008-0000-0200-000051000000}"/>
                </a:ext>
              </a:extLst>
            </xdr:cNvPr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2020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82" name="TextBox 81">
              <a:extLst>
                <a:ext uri="{FF2B5EF4-FFF2-40B4-BE49-F238E27FC236}">
                  <a16:creationId xmlns:a16="http://schemas.microsoft.com/office/drawing/2014/main" id="{00000000-0008-0000-0200-000052000000}"/>
                </a:ext>
              </a:extLst>
            </xdr:cNvPr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2019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83" name="TextBox 82">
              <a:extLst>
                <a:ext uri="{FF2B5EF4-FFF2-40B4-BE49-F238E27FC236}">
                  <a16:creationId xmlns:a16="http://schemas.microsoft.com/office/drawing/2014/main" id="{00000000-0008-0000-0200-000053000000}"/>
                </a:ext>
              </a:extLst>
            </xdr:cNvPr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84" name="TextBox 83">
              <a:extLst>
                <a:ext uri="{FF2B5EF4-FFF2-40B4-BE49-F238E27FC236}">
                  <a16:creationId xmlns:a16="http://schemas.microsoft.com/office/drawing/2014/main" id="{00000000-0008-0000-0200-000054000000}"/>
                </a:ext>
              </a:extLst>
            </xdr:cNvPr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85" name="TextBox 84">
              <a:extLst>
                <a:ext uri="{FF2B5EF4-FFF2-40B4-BE49-F238E27FC236}">
                  <a16:creationId xmlns:a16="http://schemas.microsoft.com/office/drawing/2014/main" id="{00000000-0008-0000-0200-000055000000}"/>
                </a:ext>
              </a:extLst>
            </xdr:cNvPr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86" name="TextBox 85">
              <a:extLst>
                <a:ext uri="{FF2B5EF4-FFF2-40B4-BE49-F238E27FC236}">
                  <a16:creationId xmlns:a16="http://schemas.microsoft.com/office/drawing/2014/main" id="{00000000-0008-0000-0200-000056000000}"/>
                </a:ext>
              </a:extLst>
            </xdr:cNvPr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87" name="TextBox 86">
              <a:extLst>
                <a:ext uri="{FF2B5EF4-FFF2-40B4-BE49-F238E27FC236}">
                  <a16:creationId xmlns:a16="http://schemas.microsoft.com/office/drawing/2014/main" id="{00000000-0008-0000-0200-000057000000}"/>
                </a:ext>
              </a:extLst>
            </xdr:cNvPr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88" name="TextBox 87">
              <a:extLst>
                <a:ext uri="{FF2B5EF4-FFF2-40B4-BE49-F238E27FC236}">
                  <a16:creationId xmlns:a16="http://schemas.microsoft.com/office/drawing/2014/main" id="{00000000-0008-0000-0200-000058000000}"/>
                </a:ext>
              </a:extLst>
            </xdr:cNvPr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38%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89" name="TextBox 88">
              <a:extLst>
                <a:ext uri="{FF2B5EF4-FFF2-40B4-BE49-F238E27FC236}">
                  <a16:creationId xmlns:a16="http://schemas.microsoft.com/office/drawing/2014/main" id="{00000000-0008-0000-0200-000059000000}"/>
                </a:ext>
              </a:extLst>
            </xdr:cNvPr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90" name="TextBox 89">
              <a:extLst>
                <a:ext uri="{FF2B5EF4-FFF2-40B4-BE49-F238E27FC236}">
                  <a16:creationId xmlns:a16="http://schemas.microsoft.com/office/drawing/2014/main" id="{00000000-0008-0000-0200-00005A000000}"/>
                </a:ext>
              </a:extLst>
            </xdr:cNvPr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91" name="TextBox 90">
              <a:extLst>
                <a:ext uri="{FF2B5EF4-FFF2-40B4-BE49-F238E27FC236}">
                  <a16:creationId xmlns:a16="http://schemas.microsoft.com/office/drawing/2014/main" id="{00000000-0008-0000-0200-00005B000000}"/>
                </a:ext>
              </a:extLst>
            </xdr:cNvPr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92" name="TextBox 91">
              <a:extLst>
                <a:ext uri="{FF2B5EF4-FFF2-40B4-BE49-F238E27FC236}">
                  <a16:creationId xmlns:a16="http://schemas.microsoft.com/office/drawing/2014/main" id="{00000000-0008-0000-0200-00005C000000}"/>
                </a:ext>
              </a:extLst>
            </xdr:cNvPr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93" name="TextBox 92">
              <a:extLst>
                <a:ext uri="{FF2B5EF4-FFF2-40B4-BE49-F238E27FC236}">
                  <a16:creationId xmlns:a16="http://schemas.microsoft.com/office/drawing/2014/main" id="{00000000-0008-0000-0200-00005D000000}"/>
                </a:ext>
              </a:extLst>
            </xdr:cNvPr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94" name="TextBox 93">
              <a:extLst>
                <a:ext uri="{FF2B5EF4-FFF2-40B4-BE49-F238E27FC236}">
                  <a16:creationId xmlns:a16="http://schemas.microsoft.com/office/drawing/2014/main" id="{00000000-0008-0000-0200-00005E000000}"/>
                </a:ext>
              </a:extLst>
            </xdr:cNvPr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95" name="TextBox 94">
              <a:extLst>
                <a:ext uri="{FF2B5EF4-FFF2-40B4-BE49-F238E27FC236}">
                  <a16:creationId xmlns:a16="http://schemas.microsoft.com/office/drawing/2014/main" id="{00000000-0008-0000-0200-00005F000000}"/>
                </a:ext>
              </a:extLst>
            </xdr:cNvPr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96" name="TextBox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2952369" y="4451490"/>
          <a:ext cx="3196003" cy="532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No items decreased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200-000061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7239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26506</xdr:colOff>
      <xdr:row>4</xdr:row>
      <xdr:rowOff>35820</xdr:rowOff>
    </xdr:from>
    <xdr:to>
      <xdr:col>17</xdr:col>
      <xdr:colOff>86659</xdr:colOff>
      <xdr:row>6</xdr:row>
      <xdr:rowOff>3061</xdr:rowOff>
    </xdr:to>
    <xdr:grpSp>
      <xdr:nvGrpSpPr>
        <xdr:cNvPr id="113" name="Group 112">
          <a:extLst>
            <a:ext uri="{FF2B5EF4-FFF2-40B4-BE49-F238E27FC236}">
              <a16:creationId xmlns:a16="http://schemas.microsoft.com/office/drawing/2014/main" id="{00000000-0008-0000-0200-000071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226531" y="912120"/>
          <a:ext cx="9909003" cy="291091"/>
          <a:chOff x="217743" y="196535"/>
          <a:chExt cx="10317364" cy="995246"/>
        </a:xfrm>
      </xdr:grpSpPr>
      <xdr:sp macro="" textlink="">
        <xdr:nvSpPr>
          <xdr:cNvPr id="100" name="TextBox 99">
            <a:extLst>
              <a:ext uri="{FF2B5EF4-FFF2-40B4-BE49-F238E27FC236}">
                <a16:creationId xmlns:a16="http://schemas.microsoft.com/office/drawing/2014/main" id="{00000000-0008-0000-0200-000064000000}"/>
              </a:ext>
            </a:extLst>
          </xdr:cNvPr>
          <xdr:cNvSpPr txBox="1"/>
        </xdr:nvSpPr>
        <xdr:spPr>
          <a:xfrm>
            <a:off x="232246" y="920576"/>
            <a:ext cx="2788209" cy="271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01" name="Rectangle 100"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SpPr/>
        </xdr:nvSpPr>
        <xdr:spPr>
          <a:xfrm>
            <a:off x="3656968" y="904500"/>
            <a:ext cx="6777651" cy="27120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rgbClr val="FFFFFF"/>
                </a:solidFill>
                <a:latin typeface="+mn-lt"/>
                <a:cs typeface="Arial"/>
              </a:rPr>
              <a:pPr algn="r"/>
              <a:t>Department of the Treasury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02" name="TextBox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2644798" y="2482061"/>
          <a:ext cx="409696" cy="232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03" name="TextBox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2644798" y="3009737"/>
          <a:ext cx="409696" cy="233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04" name="TextBox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2644798" y="3505747"/>
          <a:ext cx="409696" cy="234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Q26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05" name="TextBox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2952369" y="1955232"/>
          <a:ext cx="3196003" cy="550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Employees are recognized for providing high quality products and services.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06" name="TextBox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2952369" y="3009737"/>
          <a:ext cx="3196003" cy="543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Senior leaders demonstrate support for Work-Life programs.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07" name="TextBox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2952369" y="3505746"/>
          <a:ext cx="3196003" cy="542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organization, senior leaders generate high levels of motivation and commitment in the workforce.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08" name="TextBox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2644798" y="1461779"/>
          <a:ext cx="409696" cy="231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09" name="TextBox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2644798" y="1955232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10" name="TextBox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2952369" y="1463176"/>
          <a:ext cx="3196003" cy="548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111" name="TextBox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2952369" y="2486327"/>
          <a:ext cx="3196003" cy="556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229330" y="1495425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7</xdr:row>
          <xdr:rowOff>57150</xdr:rowOff>
        </xdr:from>
        <xdr:to>
          <xdr:col>5</xdr:col>
          <xdr:colOff>666750</xdr:colOff>
          <xdr:row>8</xdr:row>
          <xdr:rowOff>85725</xdr:rowOff>
        </xdr:to>
        <xdr:sp macro="" textlink="">
          <xdr:nvSpPr>
            <xdr:cNvPr id="3073" name="Drop Down 1" descr="Drop down that gives the user options to select various trends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114" name="Chart 113" descr="Displays the year to year change from 2019 to 2020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200-00007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558054" y="4157923"/>
          <a:ext cx="9279031" cy="36006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24</xdr:row>
          <xdr:rowOff>0</xdr:rowOff>
        </xdr:from>
        <xdr:to>
          <xdr:col>5</xdr:col>
          <xdr:colOff>666750</xdr:colOff>
          <xdr:row>25</xdr:row>
          <xdr:rowOff>85725</xdr:rowOff>
        </xdr:to>
        <xdr:sp macro="" textlink="">
          <xdr:nvSpPr>
            <xdr:cNvPr id="3074" name="Drop Down 2" descr="Allows users to select various categories to display trend data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118" name="TextBox 117">
          <a:extLst>
            <a:ext uri="{FF2B5EF4-FFF2-40B4-BE49-F238E27FC236}">
              <a16:creationId xmlns:a16="http://schemas.microsoft.com/office/drawing/2014/main" id="{00000000-0008-0000-0200-000076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2644798" y="5476531"/>
          <a:ext cx="409696" cy="241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119" name="TextBox 118">
          <a:extLst>
            <a:ext uri="{FF2B5EF4-FFF2-40B4-BE49-F238E27FC236}">
              <a16:creationId xmlns:a16="http://schemas.microsoft.com/office/drawing/2014/main" id="{00000000-0008-0000-0200-00007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2644798" y="5989940"/>
          <a:ext cx="409696" cy="231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120" name="TextBox 119">
          <a:extLst>
            <a:ext uri="{FF2B5EF4-FFF2-40B4-BE49-F238E27FC236}">
              <a16:creationId xmlns:a16="http://schemas.microsoft.com/office/drawing/2014/main" id="{00000000-0008-0000-0200-000078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2644798" y="6521326"/>
          <a:ext cx="409696" cy="23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121" name="TextBox 120" descr="Displays FEVS question results, based upon the selection made in the drop down box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2952369" y="4954793"/>
          <a:ext cx="3196003" cy="574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122" name="TextBox 121" descr="Displays FEVS question results, based upon the selection made in the drop down box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2952369" y="5989940"/>
          <a:ext cx="3196003" cy="537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123" name="TextBox 122" descr="Displays FEVS question results, based upon the selection made in the drop down box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2952369" y="6524583"/>
          <a:ext cx="3196003" cy="528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124" name="TextBox 123">
          <a:extLst>
            <a:ext uri="{FF2B5EF4-FFF2-40B4-BE49-F238E27FC236}">
              <a16:creationId xmlns:a16="http://schemas.microsoft.com/office/drawing/2014/main" id="{00000000-0008-0000-0200-00007C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2644798" y="4451490"/>
          <a:ext cx="409696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125" name="TextBox 124">
          <a:extLst>
            <a:ext uri="{FF2B5EF4-FFF2-40B4-BE49-F238E27FC236}">
              <a16:creationId xmlns:a16="http://schemas.microsoft.com/office/drawing/2014/main" id="{00000000-0008-0000-0200-00007D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2644798" y="4954793"/>
          <a:ext cx="409696" cy="287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126" name="TextBox 125">
          <a:extLst>
            <a:ext uri="{FF2B5EF4-FFF2-40B4-BE49-F238E27FC236}">
              <a16:creationId xmlns:a16="http://schemas.microsoft.com/office/drawing/2014/main" id="{00000000-0008-0000-0200-00007E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2952369" y="5476531"/>
          <a:ext cx="3196003" cy="537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127" name="TextBox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2019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128" name="TextBox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2019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129" name="TextBox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2019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130" name="TextBox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1114427" y="5953125"/>
          <a:ext cx="1094105" cy="838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decreased since 2019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133" name="Chart 132" descr="Displays the change from 2019 to 2020, based upon the questions displayed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134" name="Rounded Rectangle 133" descr="States that thirty seven of the surveyed items increased year on year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/>
      </xdr:nvSpPr>
      <xdr:spPr>
        <a:xfrm>
          <a:off x="4953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135" name="Rounded Rectangle 134" descr="Informs that no questions decreased from 2019 to 2020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/>
      </xdr:nvSpPr>
      <xdr:spPr>
        <a:xfrm>
          <a:off x="495300" y="60198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136" name="TextBox 135">
          <a:extLst>
            <a:ext uri="{FF2B5EF4-FFF2-40B4-BE49-F238E27FC236}">
              <a16:creationId xmlns:a16="http://schemas.microsoft.com/office/drawing/2014/main" id="{00000000-0008-0000-0200-000088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6166979" y="7144311"/>
          <a:ext cx="456372" cy="251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7620</xdr:colOff>
      <xdr:row>1</xdr:row>
      <xdr:rowOff>0</xdr:rowOff>
    </xdr:from>
    <xdr:to>
      <xdr:col>17</xdr:col>
      <xdr:colOff>173258</xdr:colOff>
      <xdr:row>6</xdr:row>
      <xdr:rowOff>62613</xdr:rowOff>
    </xdr:to>
    <xdr:grpSp>
      <xdr:nvGrpSpPr>
        <xdr:cNvPr id="98" name="Group 97">
          <a:extLst>
            <a:ext uri="{FF2B5EF4-FFF2-40B4-BE49-F238E27FC236}">
              <a16:creationId xmlns:a16="http://schemas.microsoft.com/office/drawing/2014/main" id="{00000000-0008-0000-0200-00006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207645" y="200025"/>
          <a:ext cx="10014488" cy="1062738"/>
          <a:chOff x="213360" y="198120"/>
          <a:chExt cx="10307858" cy="1053213"/>
        </a:xfrm>
      </xdr:grpSpPr>
      <xdr:pic>
        <xdr:nvPicPr>
          <xdr:cNvPr id="143" name="Picture 142">
            <a:extLst>
              <a:ext uri="{FF2B5EF4-FFF2-40B4-BE49-F238E27FC236}">
                <a16:creationId xmlns:a16="http://schemas.microsoft.com/office/drawing/2014/main" id="{00000000-0008-0000-0200-00008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3360" y="198120"/>
            <a:ext cx="10307858" cy="995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4" name="TextBox 143">
            <a:extLst>
              <a:ext uri="{FF2B5EF4-FFF2-40B4-BE49-F238E27FC236}">
                <a16:creationId xmlns:a16="http://schemas.microsoft.com/office/drawing/2014/main" id="{00000000-0008-0000-0200-000090000000}"/>
              </a:ext>
            </a:extLst>
          </xdr:cNvPr>
          <xdr:cNvSpPr txBox="1"/>
        </xdr:nvSpPr>
        <xdr:spPr>
          <a:xfrm>
            <a:off x="238661" y="889601"/>
            <a:ext cx="2796669" cy="3617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45" name="Rectangle 144">
            <a:extLst>
              <a:ext uri="{FF2B5EF4-FFF2-40B4-BE49-F238E27FC236}">
                <a16:creationId xmlns:a16="http://schemas.microsoft.com/office/drawing/2014/main" id="{00000000-0008-0000-0200-000091000000}"/>
              </a:ext>
            </a:extLst>
          </xdr:cNvPr>
          <xdr:cNvSpPr/>
        </xdr:nvSpPr>
        <xdr:spPr>
          <a:xfrm>
            <a:off x="3675636" y="931293"/>
            <a:ext cx="6799862" cy="2678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Department of the Treasury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45720</xdr:colOff>
      <xdr:row>6</xdr:row>
      <xdr:rowOff>15240</xdr:rowOff>
    </xdr:from>
    <xdr:to>
      <xdr:col>10</xdr:col>
      <xdr:colOff>419100</xdr:colOff>
      <xdr:row>7</xdr:row>
      <xdr:rowOff>30480</xdr:rowOff>
    </xdr:to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365760" y="1203960"/>
          <a:ext cx="585216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Dashboard’s largest item increases and decreases only include items 1-38, excluding item 11.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18\Report%20Production\Template\AES\FEVS%20AES%20Mock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at.com\DFS\2019\Report%20Production\Mockups\AES\2019%20AES_Mockup%2005-1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_DEMOGRAPHICS"/>
      <sheetName val="DASHBOARD_TRENDING"/>
      <sheetName val="CORE SURVEY"/>
      <sheetName val="WORK LIFE-TELEWORK"/>
      <sheetName val="DEMOGRAPHICS"/>
      <sheetName val="TREND CORE SURVEY"/>
      <sheetName val="ASI"/>
      <sheetName val="ITEM CHANGES"/>
    </sheetNames>
    <sheetDataSet>
      <sheetData sheetId="0" refreshError="1"/>
      <sheetData sheetId="1">
        <row r="42">
          <cell r="D42" t="str">
            <v>25 and under</v>
          </cell>
          <cell r="E42">
            <v>0</v>
          </cell>
        </row>
        <row r="43">
          <cell r="E43">
            <v>0.14799999999999999</v>
          </cell>
        </row>
        <row r="44">
          <cell r="E44" t="str">
            <v>--</v>
          </cell>
        </row>
        <row r="45">
          <cell r="E45">
            <v>0.37</v>
          </cell>
        </row>
        <row r="46">
          <cell r="E46">
            <v>0.33</v>
          </cell>
        </row>
        <row r="47">
          <cell r="E47" t="str">
            <v>--</v>
          </cell>
        </row>
        <row r="48">
          <cell r="E48">
            <v>0</v>
          </cell>
        </row>
        <row r="49">
          <cell r="E49">
            <v>0</v>
          </cell>
        </row>
        <row r="50">
          <cell r="B50">
            <v>6</v>
          </cell>
          <cell r="E50" t="str">
            <v>--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-Demographics"/>
      <sheetName val="DASHBOARD-Trending"/>
      <sheetName val="Core Survey"/>
      <sheetName val="Performance"/>
      <sheetName val="Partial Shutdown"/>
      <sheetName val="Telework &amp; Work-Life"/>
      <sheetName val="Demographics"/>
      <sheetName val="Trend Core Survey"/>
      <sheetName val="Trend Telework &amp; Work-Life"/>
      <sheetName val="ASI"/>
      <sheetName val="Item Changes"/>
    </sheetNames>
    <sheetDataSet>
      <sheetData sheetId="0">
        <row r="53">
          <cell r="O53">
            <v>0.96</v>
          </cell>
        </row>
      </sheetData>
      <sheetData sheetId="1">
        <row r="42">
          <cell r="D42" t="str">
            <v>25 and under</v>
          </cell>
          <cell r="E42">
            <v>0</v>
          </cell>
        </row>
        <row r="43">
          <cell r="D43" t="str">
            <v>26-29
years old</v>
          </cell>
          <cell r="E43">
            <v>0.03</v>
          </cell>
        </row>
        <row r="44">
          <cell r="D44" t="str">
            <v>30-39
years old</v>
          </cell>
          <cell r="E44">
            <v>0.24</v>
          </cell>
        </row>
        <row r="45">
          <cell r="D45" t="str">
            <v>40-49
years old</v>
          </cell>
          <cell r="E45">
            <v>0.28999999999999998</v>
          </cell>
        </row>
        <row r="46">
          <cell r="D46" t="str">
            <v>50-59
years old</v>
          </cell>
          <cell r="E46">
            <v>0.3</v>
          </cell>
        </row>
        <row r="47">
          <cell r="D47" t="str">
            <v>60 years
or older</v>
          </cell>
          <cell r="E47">
            <v>0.15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B50">
            <v>6</v>
          </cell>
          <cell r="D50" t="str">
            <v>Less than 1
year</v>
          </cell>
          <cell r="E50">
            <v>0</v>
          </cell>
        </row>
        <row r="51">
          <cell r="B51">
            <v>7</v>
          </cell>
          <cell r="D51" t="str">
            <v>1 to 3
years</v>
          </cell>
          <cell r="E51">
            <v>0.2</v>
          </cell>
        </row>
        <row r="52">
          <cell r="D52" t="str">
            <v>4 to 5
years</v>
          </cell>
          <cell r="E52">
            <v>0.08</v>
          </cell>
        </row>
        <row r="53">
          <cell r="D53" t="str">
            <v>6 to 10
years</v>
          </cell>
          <cell r="E53">
            <v>0.24</v>
          </cell>
        </row>
        <row r="54">
          <cell r="D54" t="str">
            <v>11 to 14
years</v>
          </cell>
          <cell r="E54">
            <v>0.14000000000000001</v>
          </cell>
        </row>
        <row r="55">
          <cell r="D55" t="str">
            <v>15 to 20
years</v>
          </cell>
          <cell r="E55">
            <v>0.11</v>
          </cell>
        </row>
        <row r="56">
          <cell r="D56" t="str">
            <v>More than 20
years</v>
          </cell>
          <cell r="E56">
            <v>0.23</v>
          </cell>
        </row>
      </sheetData>
      <sheetData sheetId="2">
        <row r="11">
          <cell r="X11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B9C4DB"/>
    <pageSetUpPr autoPageBreaks="0"/>
  </sheetPr>
  <dimension ref="A1:BX221"/>
  <sheetViews>
    <sheetView showGridLines="0" showRowColHeaders="0" zoomScaleNormal="100" zoomScalePageLayoutView="200" workbookViewId="0">
      <selection activeCell="K54" activeCellId="7" sqref="U3:AE3 T5:AE9 AF33 K43:K48 L47:L48 K51:L53 M53:W53 K54:W54"/>
    </sheetView>
  </sheetViews>
  <sheetFormatPr defaultColWidth="8.85546875" defaultRowHeight="12.75" x14ac:dyDescent="0.2"/>
  <cols>
    <col min="1" max="1" width="3" style="1" customWidth="1"/>
    <col min="2" max="2" width="1.7109375" style="1" customWidth="1"/>
    <col min="3" max="3" width="3" style="1" customWidth="1"/>
    <col min="4" max="4" width="8.85546875" style="1"/>
    <col min="5" max="5" width="11.140625" style="1" customWidth="1"/>
    <col min="6" max="6" width="11.42578125" style="1" customWidth="1"/>
    <col min="7" max="7" width="12" style="1" customWidth="1"/>
    <col min="8" max="8" width="7.85546875" style="1" customWidth="1"/>
    <col min="9" max="9" width="9.140625" style="1" customWidth="1"/>
    <col min="10" max="10" width="16.42578125" style="1" customWidth="1"/>
    <col min="11" max="11" width="9.42578125" style="1" customWidth="1"/>
    <col min="12" max="12" width="12" style="1" customWidth="1"/>
    <col min="13" max="13" width="7.85546875" style="1" customWidth="1"/>
    <col min="14" max="16" width="8.85546875" style="1"/>
    <col min="17" max="17" width="10.28515625" style="1" customWidth="1"/>
    <col min="18" max="19" width="2.7109375" style="1" customWidth="1"/>
    <col min="20" max="37" width="2.7109375" style="3" customWidth="1"/>
    <col min="38" max="38" width="2.7109375" style="5" customWidth="1"/>
    <col min="39" max="39" width="2.7109375" style="4" customWidth="1"/>
    <col min="40" max="44" width="2.7109375" style="5" customWidth="1"/>
    <col min="45" max="46" width="2.5703125" style="5" customWidth="1"/>
    <col min="47" max="56" width="2.7109375" style="5" customWidth="1"/>
    <col min="57" max="60" width="2.7109375" style="45" customWidth="1"/>
    <col min="61" max="62" width="2.85546875" style="45" customWidth="1"/>
    <col min="63" max="71" width="2.85546875" style="1" customWidth="1"/>
    <col min="72" max="76" width="8.85546875" style="1" hidden="1" customWidth="1"/>
    <col min="77" max="77" width="0" style="1" hidden="1" customWidth="1"/>
    <col min="78" max="16384" width="8.85546875" style="1"/>
  </cols>
  <sheetData>
    <row r="1" spans="2:53" ht="15.75" customHeight="1" thickBot="1" x14ac:dyDescent="0.25">
      <c r="S1" s="2"/>
      <c r="X1" s="2"/>
      <c r="Y1" s="2"/>
      <c r="Z1" s="2"/>
      <c r="AA1" s="2"/>
      <c r="AF1" s="2"/>
      <c r="AG1" s="2"/>
      <c r="AH1" s="2"/>
      <c r="AI1" s="2"/>
      <c r="AJ1" s="2"/>
      <c r="AK1" s="4"/>
      <c r="AL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2:53" ht="15" customHeight="1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2"/>
      <c r="T2" s="125" t="s">
        <v>0</v>
      </c>
      <c r="U2" s="125" t="s">
        <v>1</v>
      </c>
      <c r="V2" s="125" t="s">
        <v>2</v>
      </c>
      <c r="W2" s="125" t="s">
        <v>3</v>
      </c>
      <c r="X2" s="125" t="s">
        <v>4</v>
      </c>
      <c r="Y2" s="125" t="s">
        <v>5</v>
      </c>
      <c r="Z2" s="125" t="s">
        <v>6</v>
      </c>
      <c r="AA2" s="125" t="s">
        <v>7</v>
      </c>
      <c r="AB2" s="125" t="s">
        <v>8</v>
      </c>
      <c r="AC2" s="125" t="s">
        <v>9</v>
      </c>
      <c r="AD2" s="125" t="s">
        <v>10</v>
      </c>
      <c r="AE2" s="125" t="s">
        <v>11</v>
      </c>
      <c r="AF2" s="2"/>
      <c r="AG2" s="2"/>
      <c r="AH2" s="2"/>
      <c r="AI2" s="2"/>
      <c r="AJ2" s="2"/>
      <c r="AK2" s="4"/>
      <c r="AL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2:53" ht="21.75" customHeight="1" x14ac:dyDescent="0.4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3"/>
      <c r="S3" s="2"/>
      <c r="T3" s="14" t="s">
        <v>110</v>
      </c>
      <c r="U3" s="2" t="s">
        <v>111</v>
      </c>
      <c r="V3" s="15">
        <v>40347</v>
      </c>
      <c r="W3" s="15">
        <v>72297</v>
      </c>
      <c r="X3" s="16">
        <v>0.55800000000000005</v>
      </c>
      <c r="Y3" s="2">
        <v>28</v>
      </c>
      <c r="Z3" s="2">
        <v>0</v>
      </c>
      <c r="AA3" s="17">
        <v>0.75</v>
      </c>
      <c r="AB3" s="17">
        <v>0.65</v>
      </c>
      <c r="AC3" s="17">
        <v>0.83</v>
      </c>
      <c r="AD3" s="17">
        <v>0.77</v>
      </c>
      <c r="AE3" s="2" t="s">
        <v>112</v>
      </c>
      <c r="AF3" s="2"/>
      <c r="AG3" s="2"/>
      <c r="AH3" s="2"/>
      <c r="AI3" s="2"/>
      <c r="AJ3" s="2"/>
      <c r="AK3" s="5"/>
      <c r="AM3" s="5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3" ht="15" customHeight="1" x14ac:dyDescent="0.2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  <c r="S4" s="2"/>
      <c r="T4" s="125" t="s">
        <v>12</v>
      </c>
      <c r="U4" s="125" t="s">
        <v>13</v>
      </c>
      <c r="V4" s="125" t="s">
        <v>12</v>
      </c>
      <c r="W4" s="125" t="s">
        <v>13</v>
      </c>
      <c r="X4" s="125" t="s">
        <v>12</v>
      </c>
      <c r="Y4" s="125" t="s">
        <v>13</v>
      </c>
      <c r="Z4" s="125" t="s">
        <v>12</v>
      </c>
      <c r="AA4" s="125" t="s">
        <v>13</v>
      </c>
      <c r="AB4" s="125" t="s">
        <v>12</v>
      </c>
      <c r="AC4" s="125" t="s">
        <v>13</v>
      </c>
      <c r="AD4" s="125" t="s">
        <v>12</v>
      </c>
      <c r="AE4" s="125" t="s">
        <v>13</v>
      </c>
      <c r="AF4" s="2"/>
      <c r="AG4" s="2"/>
      <c r="AH4" s="2"/>
      <c r="AI4" s="2"/>
      <c r="AJ4" s="2"/>
      <c r="AK4" s="5"/>
      <c r="AM4" s="5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53" x14ac:dyDescent="0.2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  <c r="S5" s="2"/>
      <c r="T5" s="2">
        <v>19</v>
      </c>
      <c r="U5" s="17">
        <v>0.88</v>
      </c>
      <c r="V5" s="2">
        <v>18</v>
      </c>
      <c r="W5" s="17">
        <v>0.47</v>
      </c>
      <c r="X5" s="2">
        <v>18</v>
      </c>
      <c r="Y5" s="17">
        <v>0.27</v>
      </c>
      <c r="Z5" s="2">
        <v>7</v>
      </c>
      <c r="AA5" s="17">
        <v>0.05</v>
      </c>
      <c r="AB5" s="2">
        <v>23</v>
      </c>
      <c r="AC5" s="17">
        <v>0.56999999999999995</v>
      </c>
      <c r="AD5" s="2">
        <v>18</v>
      </c>
      <c r="AE5" s="17">
        <v>0.12</v>
      </c>
      <c r="AF5" s="2"/>
      <c r="AG5" s="2"/>
      <c r="AH5" s="2"/>
      <c r="AI5" s="2"/>
      <c r="AJ5" s="2"/>
      <c r="AK5" s="5"/>
      <c r="AM5" s="5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2:53" x14ac:dyDescent="0.2">
      <c r="B6" s="9"/>
      <c r="C6" s="11"/>
      <c r="D6" s="11"/>
      <c r="E6" s="11"/>
      <c r="F6" s="11"/>
      <c r="G6" s="11"/>
      <c r="H6" s="11"/>
      <c r="I6" s="11"/>
      <c r="J6" s="18"/>
      <c r="K6" s="11"/>
      <c r="L6" s="11"/>
      <c r="M6" s="11"/>
      <c r="N6" s="11"/>
      <c r="O6" s="11"/>
      <c r="P6" s="11"/>
      <c r="Q6" s="11"/>
      <c r="R6" s="13"/>
      <c r="S6" s="2"/>
      <c r="T6" s="2">
        <v>23</v>
      </c>
      <c r="U6" s="17">
        <v>0.88</v>
      </c>
      <c r="V6" s="2">
        <v>10</v>
      </c>
      <c r="W6" s="17">
        <v>0.47</v>
      </c>
      <c r="X6" s="2">
        <v>10</v>
      </c>
      <c r="Y6" s="17">
        <v>0.23</v>
      </c>
      <c r="Z6" s="2">
        <v>20</v>
      </c>
      <c r="AA6" s="17">
        <v>0.05</v>
      </c>
      <c r="AB6" s="2">
        <v>19</v>
      </c>
      <c r="AC6" s="17">
        <v>0.56000000000000005</v>
      </c>
      <c r="AD6" s="2">
        <v>10</v>
      </c>
      <c r="AE6" s="17">
        <v>0.1</v>
      </c>
      <c r="AF6" s="2"/>
      <c r="AG6" s="2"/>
      <c r="AH6" s="2"/>
      <c r="AI6" s="2"/>
      <c r="AJ6" s="2"/>
      <c r="AK6" s="5"/>
      <c r="AM6" s="5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2:53" ht="18.75" x14ac:dyDescent="0.2">
      <c r="B7" s="9"/>
      <c r="C7" s="11"/>
      <c r="D7" s="19"/>
      <c r="E7" s="19"/>
      <c r="F7" s="20"/>
      <c r="G7" s="20"/>
      <c r="H7" s="199"/>
      <c r="I7" s="199"/>
      <c r="J7" s="11"/>
      <c r="K7" s="11"/>
      <c r="L7" s="11"/>
      <c r="M7" s="11"/>
      <c r="N7" s="11"/>
      <c r="O7" s="11"/>
      <c r="P7" s="11"/>
      <c r="Q7" s="11"/>
      <c r="R7" s="13"/>
      <c r="S7" s="2"/>
      <c r="T7" s="2">
        <v>7</v>
      </c>
      <c r="U7" s="17">
        <v>0.88</v>
      </c>
      <c r="V7" s="2">
        <v>26</v>
      </c>
      <c r="W7" s="17">
        <v>0.54</v>
      </c>
      <c r="X7" s="2">
        <v>26</v>
      </c>
      <c r="Y7" s="17">
        <v>0.23</v>
      </c>
      <c r="Z7" s="2">
        <v>23</v>
      </c>
      <c r="AA7" s="17">
        <v>0.06</v>
      </c>
      <c r="AB7" s="2">
        <v>25</v>
      </c>
      <c r="AC7" s="17">
        <v>0.56000000000000005</v>
      </c>
      <c r="AD7" s="2">
        <v>26</v>
      </c>
      <c r="AE7" s="17">
        <v>0.09</v>
      </c>
      <c r="AF7" s="2"/>
      <c r="AG7" s="2"/>
      <c r="AH7" s="2"/>
      <c r="AI7" s="2"/>
      <c r="AJ7" s="2"/>
      <c r="AK7" s="5"/>
      <c r="AM7" s="5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2:53" ht="16.5" customHeight="1" x14ac:dyDescent="0.25">
      <c r="B8" s="9"/>
      <c r="C8" s="11"/>
      <c r="D8" s="21"/>
      <c r="E8" s="22"/>
      <c r="F8" s="23"/>
      <c r="G8" s="24"/>
      <c r="H8" s="200"/>
      <c r="I8" s="200"/>
      <c r="J8" s="11"/>
      <c r="K8" s="11"/>
      <c r="L8" s="11"/>
      <c r="M8" s="11"/>
      <c r="N8" s="11"/>
      <c r="O8" s="11"/>
      <c r="P8" s="11"/>
      <c r="Q8" s="11"/>
      <c r="R8" s="13"/>
      <c r="S8" s="2"/>
      <c r="T8" s="2">
        <v>9</v>
      </c>
      <c r="U8" s="17">
        <v>0.86</v>
      </c>
      <c r="V8" s="2">
        <v>12</v>
      </c>
      <c r="W8" s="17">
        <v>0.54</v>
      </c>
      <c r="X8" s="2">
        <v>5</v>
      </c>
      <c r="Y8" s="17">
        <v>0.2</v>
      </c>
      <c r="Z8" s="2">
        <v>19</v>
      </c>
      <c r="AA8" s="17">
        <v>0.06</v>
      </c>
      <c r="AB8" s="2">
        <v>22</v>
      </c>
      <c r="AC8" s="17">
        <v>0.52</v>
      </c>
      <c r="AD8" s="2">
        <v>5</v>
      </c>
      <c r="AE8" s="17">
        <v>0.08</v>
      </c>
      <c r="AF8" s="2"/>
      <c r="AG8" s="2"/>
      <c r="AH8" s="2"/>
      <c r="AI8" s="2"/>
      <c r="AJ8" s="2"/>
      <c r="AK8" s="5"/>
      <c r="AM8" s="5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2:53" ht="16.5" customHeight="1" x14ac:dyDescent="0.25">
      <c r="B9" s="9"/>
      <c r="C9" s="11"/>
      <c r="D9" s="21"/>
      <c r="E9" s="22"/>
      <c r="F9" s="25"/>
      <c r="G9" s="24"/>
      <c r="H9" s="200"/>
      <c r="I9" s="200"/>
      <c r="J9" s="11"/>
      <c r="K9" s="11"/>
      <c r="L9" s="11"/>
      <c r="M9" s="11"/>
      <c r="N9" s="11"/>
      <c r="O9" s="11"/>
      <c r="P9" s="11"/>
      <c r="Q9" s="11"/>
      <c r="R9" s="13"/>
      <c r="S9" s="2"/>
      <c r="T9" s="2">
        <v>4</v>
      </c>
      <c r="U9" s="17">
        <v>0.86</v>
      </c>
      <c r="V9" s="2">
        <v>33</v>
      </c>
      <c r="W9" s="17">
        <v>0.56999999999999995</v>
      </c>
      <c r="X9" s="2">
        <v>12</v>
      </c>
      <c r="Y9" s="17">
        <v>0.2</v>
      </c>
      <c r="Z9" s="2">
        <v>9</v>
      </c>
      <c r="AA9" s="17">
        <v>0.06</v>
      </c>
      <c r="AB9" s="2">
        <v>20</v>
      </c>
      <c r="AC9" s="17">
        <v>0.51</v>
      </c>
      <c r="AD9" s="2">
        <v>12</v>
      </c>
      <c r="AE9" s="17">
        <v>7.0000000000000007E-2</v>
      </c>
      <c r="AF9" s="2"/>
      <c r="AG9" s="2"/>
      <c r="AH9" s="2"/>
      <c r="AI9" s="26"/>
      <c r="AJ9" s="27"/>
      <c r="AK9" s="27"/>
      <c r="AL9" s="27"/>
      <c r="AM9" s="27"/>
      <c r="AN9" s="27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2:53" ht="16.5" customHeight="1" x14ac:dyDescent="0.25">
      <c r="B10" s="9"/>
      <c r="C10" s="11"/>
      <c r="D10" s="22"/>
      <c r="E10" s="22"/>
      <c r="F10" s="25"/>
      <c r="G10" s="24"/>
      <c r="H10" s="200"/>
      <c r="I10" s="200"/>
      <c r="J10" s="11"/>
      <c r="K10" s="11"/>
      <c r="L10" s="11"/>
      <c r="M10" s="11"/>
      <c r="N10" s="11"/>
      <c r="O10" s="11"/>
      <c r="P10" s="11"/>
      <c r="Q10" s="11"/>
      <c r="R10" s="13"/>
      <c r="S10" s="2"/>
      <c r="AF10" s="2"/>
      <c r="AG10" s="2"/>
      <c r="AH10" s="2"/>
      <c r="AI10" s="26"/>
      <c r="AJ10" s="27"/>
      <c r="AK10" s="27"/>
      <c r="AL10" s="27"/>
      <c r="AM10" s="27"/>
      <c r="AN10" s="27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2:53" ht="16.5" customHeight="1" x14ac:dyDescent="0.25">
      <c r="B11" s="9"/>
      <c r="C11" s="11"/>
      <c r="D11" s="22"/>
      <c r="E11" s="22"/>
      <c r="F11" s="25"/>
      <c r="G11" s="24"/>
      <c r="H11" s="200"/>
      <c r="I11" s="200"/>
      <c r="J11" s="11"/>
      <c r="K11" s="11"/>
      <c r="L11" s="11"/>
      <c r="M11" s="11"/>
      <c r="N11" s="11"/>
      <c r="O11" s="11"/>
      <c r="P11" s="11"/>
      <c r="Q11" s="11"/>
      <c r="R11" s="13"/>
      <c r="S11" s="2"/>
      <c r="T11" s="2"/>
      <c r="U11" s="26"/>
      <c r="V11" s="2"/>
      <c r="W11" s="17"/>
      <c r="X11" s="2"/>
      <c r="Y11" s="17"/>
      <c r="Z11" s="2"/>
      <c r="AA11" s="17"/>
      <c r="AB11" s="2"/>
      <c r="AC11" s="17"/>
      <c r="AD11" s="2"/>
      <c r="AE11" s="17"/>
      <c r="AF11" s="2"/>
      <c r="AG11" s="2"/>
      <c r="AH11" s="2"/>
      <c r="AI11" s="26"/>
      <c r="AJ11" s="27"/>
      <c r="AK11" s="27"/>
      <c r="AL11" s="27"/>
      <c r="AM11" s="27"/>
      <c r="AN11" s="27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2:53" ht="16.5" customHeight="1" x14ac:dyDescent="0.25">
      <c r="B12" s="9"/>
      <c r="C12" s="11"/>
      <c r="D12" s="22"/>
      <c r="E12" s="22"/>
      <c r="F12" s="25"/>
      <c r="G12" s="24"/>
      <c r="H12" s="200"/>
      <c r="I12" s="200"/>
      <c r="J12" s="11"/>
      <c r="K12" s="11"/>
      <c r="L12" s="11"/>
      <c r="M12" s="11"/>
      <c r="N12" s="11"/>
      <c r="O12" s="11"/>
      <c r="P12" s="11"/>
      <c r="Q12" s="11"/>
      <c r="R12" s="13"/>
      <c r="AF12" s="2"/>
      <c r="AG12" s="2"/>
      <c r="AH12" s="2"/>
      <c r="AI12" s="26"/>
      <c r="AJ12" s="27"/>
      <c r="AK12" s="27"/>
      <c r="AL12" s="27"/>
      <c r="AM12" s="27"/>
      <c r="AN12" s="27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2:53" ht="16.5" customHeight="1" x14ac:dyDescent="0.25">
      <c r="B13" s="9"/>
      <c r="C13" s="11"/>
      <c r="D13" s="196"/>
      <c r="E13" s="196"/>
      <c r="F13" s="28"/>
      <c r="G13" s="29"/>
      <c r="H13" s="197"/>
      <c r="I13" s="197"/>
      <c r="J13" s="11"/>
      <c r="K13" s="11"/>
      <c r="L13" s="11"/>
      <c r="M13" s="11"/>
      <c r="N13" s="11"/>
      <c r="O13" s="11"/>
      <c r="P13" s="11"/>
      <c r="Q13" s="11"/>
      <c r="R13" s="13"/>
      <c r="AF13" s="2"/>
      <c r="AG13" s="2"/>
      <c r="AH13" s="2"/>
      <c r="AI13" s="26"/>
      <c r="AJ13" s="27"/>
      <c r="AK13" s="27"/>
      <c r="AL13" s="27"/>
      <c r="AM13" s="27"/>
      <c r="AN13" s="27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2:53" ht="13.5" customHeight="1" x14ac:dyDescent="0.2">
      <c r="B14" s="9"/>
      <c r="C14" s="11"/>
      <c r="D14" s="30"/>
      <c r="E14" s="30"/>
      <c r="F14" s="30"/>
      <c r="G14" s="30"/>
      <c r="H14" s="30"/>
      <c r="I14" s="30"/>
      <c r="J14" s="11"/>
      <c r="K14" s="11"/>
      <c r="L14" s="31"/>
      <c r="M14" s="11"/>
      <c r="N14" s="11"/>
      <c r="O14" s="11"/>
      <c r="P14" s="11"/>
      <c r="Q14" s="11"/>
      <c r="R14" s="13"/>
      <c r="AF14" s="2"/>
      <c r="AG14" s="26"/>
      <c r="AH14" s="26"/>
      <c r="AI14" s="26"/>
      <c r="AJ14" s="32"/>
      <c r="AK14" s="32"/>
      <c r="AL14" s="32"/>
      <c r="AM14" s="32"/>
      <c r="AN14" s="32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2:53" x14ac:dyDescent="0.2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3"/>
      <c r="AF15" s="2"/>
      <c r="AG15" s="26"/>
      <c r="AH15" s="26"/>
      <c r="AI15" s="2"/>
      <c r="AJ15" s="2"/>
      <c r="AK15" s="5"/>
      <c r="AM15" s="5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2:53" ht="13.5" customHeight="1" x14ac:dyDescent="0.2">
      <c r="B16" s="9"/>
      <c r="C16" s="11"/>
      <c r="D16" s="33"/>
      <c r="E16" s="34"/>
      <c r="F16" s="35"/>
      <c r="G16" s="35"/>
      <c r="H16" s="11"/>
      <c r="I16" s="34"/>
      <c r="J16" s="34"/>
      <c r="K16" s="35"/>
      <c r="L16" s="35"/>
      <c r="M16" s="11"/>
      <c r="N16" s="11"/>
      <c r="O16" s="11"/>
      <c r="P16" s="11"/>
      <c r="Q16" s="11"/>
      <c r="R16" s="13"/>
      <c r="S16" s="2"/>
      <c r="AD16" s="2"/>
      <c r="AE16" s="17"/>
      <c r="AF16" s="2"/>
      <c r="AG16" s="26"/>
      <c r="AH16" s="26"/>
      <c r="AI16" s="2"/>
      <c r="AJ16" s="2"/>
      <c r="AK16" s="5"/>
      <c r="AM16" s="5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2:53" ht="12.75" customHeight="1" x14ac:dyDescent="0.25">
      <c r="B17" s="9"/>
      <c r="C17" s="11"/>
      <c r="D17" s="11"/>
      <c r="E17" s="11"/>
      <c r="F17" s="36"/>
      <c r="G17" s="37"/>
      <c r="H17" s="11"/>
      <c r="I17" s="11"/>
      <c r="J17" s="11"/>
      <c r="K17" s="36"/>
      <c r="L17" s="37"/>
      <c r="M17" s="11"/>
      <c r="N17" s="11"/>
      <c r="O17" s="11"/>
      <c r="P17" s="11"/>
      <c r="Q17" s="11"/>
      <c r="R17" s="13"/>
      <c r="S17" s="2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2"/>
      <c r="AE17" s="17"/>
      <c r="AF17" s="2"/>
      <c r="AG17" s="26"/>
      <c r="AH17" s="26"/>
      <c r="AI17" s="26"/>
      <c r="AJ17" s="2"/>
      <c r="AK17" s="5"/>
      <c r="AM17" s="5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2:53" ht="12.75" customHeight="1" x14ac:dyDescent="0.25">
      <c r="B18" s="9"/>
      <c r="C18" s="11"/>
      <c r="D18" s="11"/>
      <c r="E18" s="11"/>
      <c r="F18" s="36"/>
      <c r="G18" s="37"/>
      <c r="H18" s="11"/>
      <c r="I18" s="11"/>
      <c r="J18" s="11"/>
      <c r="K18" s="36"/>
      <c r="L18" s="37"/>
      <c r="M18" s="11"/>
      <c r="N18" s="11"/>
      <c r="O18" s="11"/>
      <c r="P18" s="11"/>
      <c r="Q18" s="11"/>
      <c r="R18" s="13"/>
      <c r="S18" s="2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26"/>
      <c r="AE18" s="26"/>
      <c r="AF18" s="2"/>
      <c r="AG18" s="26"/>
      <c r="AH18" s="26"/>
      <c r="AI18" s="2"/>
      <c r="AJ18" s="2"/>
      <c r="AK18" s="5"/>
      <c r="AM18" s="5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2:53" ht="12.75" customHeight="1" x14ac:dyDescent="0.25">
      <c r="B19" s="9"/>
      <c r="C19" s="11"/>
      <c r="D19" s="11"/>
      <c r="E19" s="11"/>
      <c r="F19" s="36"/>
      <c r="G19" s="37"/>
      <c r="H19" s="11"/>
      <c r="I19" s="11"/>
      <c r="J19" s="11"/>
      <c r="K19" s="36"/>
      <c r="L19" s="37"/>
      <c r="M19" s="11"/>
      <c r="N19" s="11"/>
      <c r="O19" s="11"/>
      <c r="P19" s="11"/>
      <c r="Q19" s="11"/>
      <c r="R19" s="13"/>
      <c r="S19" s="2"/>
      <c r="T19" s="38"/>
      <c r="U19" s="38"/>
      <c r="V19" s="38"/>
      <c r="W19" s="38"/>
      <c r="X19" s="38"/>
      <c r="Y19" s="38"/>
      <c r="Z19" s="38"/>
      <c r="AA19" s="26"/>
      <c r="AB19" s="26"/>
      <c r="AC19" s="26"/>
      <c r="AD19" s="26"/>
      <c r="AE19" s="26"/>
      <c r="AF19" s="26"/>
      <c r="AG19" s="2"/>
      <c r="AH19" s="2"/>
      <c r="AI19" s="2"/>
      <c r="AJ19" s="2"/>
      <c r="AK19" s="5"/>
      <c r="AM19" s="5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2:53" ht="12.75" customHeight="1" x14ac:dyDescent="0.25">
      <c r="B20" s="9"/>
      <c r="C20" s="11"/>
      <c r="D20" s="11"/>
      <c r="E20" s="11"/>
      <c r="F20" s="36"/>
      <c r="G20" s="37"/>
      <c r="H20" s="11"/>
      <c r="I20" s="11"/>
      <c r="J20" s="11"/>
      <c r="K20" s="36"/>
      <c r="L20" s="37"/>
      <c r="M20" s="11"/>
      <c r="N20" s="11"/>
      <c r="O20" s="11"/>
      <c r="P20" s="11"/>
      <c r="Q20" s="11"/>
      <c r="R20" s="13"/>
      <c r="S20" s="2"/>
      <c r="T20" s="39"/>
      <c r="U20" s="39"/>
      <c r="V20" s="39"/>
      <c r="W20" s="39"/>
      <c r="X20" s="39"/>
      <c r="Y20" s="39"/>
      <c r="Z20" s="39"/>
      <c r="AA20" s="26"/>
      <c r="AB20" s="26"/>
      <c r="AC20" s="26"/>
      <c r="AD20" s="26"/>
      <c r="AE20" s="26"/>
      <c r="AF20" s="26"/>
      <c r="AG20" s="2"/>
      <c r="AH20" s="2"/>
      <c r="AI20" s="2"/>
      <c r="AJ20" s="2"/>
      <c r="AK20" s="5"/>
      <c r="AM20" s="5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2:53" ht="12.75" customHeight="1" x14ac:dyDescent="0.2">
      <c r="B21" s="9"/>
      <c r="C21" s="11"/>
      <c r="D21" s="11"/>
      <c r="E21" s="11"/>
      <c r="F21" s="36"/>
      <c r="G21" s="37"/>
      <c r="H21" s="11"/>
      <c r="I21" s="11"/>
      <c r="J21" s="40"/>
      <c r="K21" s="36"/>
      <c r="L21" s="37"/>
      <c r="M21" s="11"/>
      <c r="N21" s="11"/>
      <c r="O21" s="11"/>
      <c r="P21" s="11"/>
      <c r="Q21" s="11"/>
      <c r="R21" s="13"/>
      <c r="S21" s="2"/>
      <c r="X21" s="26"/>
      <c r="Y21" s="26"/>
      <c r="Z21" s="26"/>
      <c r="AA21" s="26"/>
      <c r="AB21" s="26"/>
      <c r="AC21" s="26"/>
      <c r="AD21" s="26"/>
      <c r="AE21" s="26"/>
      <c r="AF21" s="26"/>
      <c r="AG21" s="2"/>
      <c r="AH21" s="2"/>
      <c r="AI21" s="2"/>
      <c r="AJ21" s="2"/>
      <c r="AK21" s="5"/>
      <c r="AM21" s="5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2:53" ht="12.75" customHeight="1" x14ac:dyDescent="0.2">
      <c r="B22" s="9"/>
      <c r="C22" s="11"/>
      <c r="D22" s="11"/>
      <c r="E22" s="11"/>
      <c r="F22" s="36"/>
      <c r="G22" s="37"/>
      <c r="H22" s="11"/>
      <c r="I22" s="11"/>
      <c r="J22" s="11"/>
      <c r="K22" s="36"/>
      <c r="L22" s="37"/>
      <c r="M22" s="11"/>
      <c r="N22" s="11"/>
      <c r="O22" s="11"/>
      <c r="P22" s="11"/>
      <c r="Q22" s="11"/>
      <c r="R22" s="13"/>
      <c r="S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5"/>
      <c r="AM22" s="5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2:53" ht="12.75" customHeight="1" x14ac:dyDescent="0.2">
      <c r="B23" s="9"/>
      <c r="C23" s="11"/>
      <c r="D23" s="11"/>
      <c r="E23" s="11"/>
      <c r="F23" s="36"/>
      <c r="G23" s="37"/>
      <c r="H23" s="11"/>
      <c r="I23" s="11"/>
      <c r="J23" s="11"/>
      <c r="K23" s="36"/>
      <c r="L23" s="37"/>
      <c r="M23" s="11"/>
      <c r="N23" s="11"/>
      <c r="O23" s="11"/>
      <c r="P23" s="11"/>
      <c r="Q23" s="11"/>
      <c r="R23" s="13"/>
      <c r="S23" s="2"/>
      <c r="V23" s="2"/>
      <c r="W23" s="2"/>
      <c r="X23" s="41"/>
      <c r="Y23" s="41"/>
      <c r="Z23" s="26"/>
      <c r="AA23" s="26"/>
      <c r="AB23" s="26"/>
      <c r="AC23" s="26"/>
      <c r="AD23" s="2"/>
      <c r="AE23" s="2"/>
      <c r="AF23" s="2"/>
      <c r="AG23" s="2"/>
      <c r="AH23" s="2"/>
      <c r="AI23" s="2"/>
      <c r="AJ23" s="2"/>
      <c r="AK23" s="5"/>
      <c r="AM23" s="5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2:53" ht="12.75" customHeight="1" x14ac:dyDescent="0.2">
      <c r="B24" s="9"/>
      <c r="C24" s="11"/>
      <c r="D24" s="11"/>
      <c r="E24" s="11"/>
      <c r="F24" s="36"/>
      <c r="G24" s="37"/>
      <c r="H24" s="11"/>
      <c r="I24" s="11"/>
      <c r="J24" s="11"/>
      <c r="K24" s="36"/>
      <c r="L24" s="37"/>
      <c r="M24" s="11"/>
      <c r="N24" s="11"/>
      <c r="O24" s="11"/>
      <c r="P24" s="11"/>
      <c r="Q24" s="11"/>
      <c r="R24" s="13"/>
      <c r="S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5"/>
      <c r="AM24" s="5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2:53" ht="12.75" customHeight="1" x14ac:dyDescent="0.2">
      <c r="B25" s="9"/>
      <c r="C25" s="11"/>
      <c r="D25" s="11"/>
      <c r="E25" s="11"/>
      <c r="F25" s="36"/>
      <c r="G25" s="37"/>
      <c r="H25" s="11"/>
      <c r="I25" s="11"/>
      <c r="J25" s="11"/>
      <c r="K25" s="36"/>
      <c r="L25" s="37"/>
      <c r="M25" s="11"/>
      <c r="N25" s="11"/>
      <c r="O25" s="11"/>
      <c r="P25" s="11"/>
      <c r="Q25" s="11"/>
      <c r="R25" s="1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5"/>
      <c r="AM25" s="5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2:53" ht="12.75" customHeight="1" x14ac:dyDescent="0.2">
      <c r="B26" s="9"/>
      <c r="C26" s="11"/>
      <c r="D26" s="11"/>
      <c r="E26" s="11"/>
      <c r="F26" s="36"/>
      <c r="G26" s="37"/>
      <c r="H26" s="11"/>
      <c r="I26" s="11"/>
      <c r="J26" s="11"/>
      <c r="K26" s="36"/>
      <c r="L26" s="37"/>
      <c r="M26" s="11"/>
      <c r="N26" s="11"/>
      <c r="O26" s="11"/>
      <c r="P26" s="11"/>
      <c r="Q26" s="11"/>
      <c r="R26" s="1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5"/>
      <c r="AM26" s="5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2:53" ht="15" x14ac:dyDescent="0.25"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3"/>
      <c r="S27" s="2"/>
      <c r="T27" s="2"/>
      <c r="U27" s="2"/>
      <c r="V27" s="2"/>
      <c r="W27" s="42"/>
      <c r="X27" s="2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5"/>
      <c r="AM27" s="5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2:53" x14ac:dyDescent="0.2">
      <c r="B28" s="9"/>
      <c r="C28" s="11"/>
      <c r="D28" s="43"/>
      <c r="E28" s="43"/>
      <c r="F28" s="43"/>
      <c r="G28" s="4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6"/>
      <c r="AE28" s="26"/>
      <c r="AF28" s="26"/>
      <c r="AG28" s="26"/>
      <c r="AH28" s="26"/>
      <c r="AI28" s="26"/>
      <c r="AJ28" s="26"/>
      <c r="AK28" s="5"/>
      <c r="AM28" s="5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2:53" ht="13.5" customHeight="1" x14ac:dyDescent="0.2">
      <c r="B29" s="9"/>
      <c r="C29" s="11"/>
      <c r="D29" s="34"/>
      <c r="E29" s="34"/>
      <c r="F29" s="35"/>
      <c r="G29" s="35"/>
      <c r="H29" s="11"/>
      <c r="I29" s="34"/>
      <c r="J29" s="34"/>
      <c r="K29" s="35"/>
      <c r="L29" s="35"/>
      <c r="M29" s="11"/>
      <c r="N29" s="11"/>
      <c r="O29" s="11"/>
      <c r="P29" s="11"/>
      <c r="Q29" s="11"/>
      <c r="R29" s="13"/>
      <c r="S29" s="2"/>
      <c r="T29" s="2"/>
      <c r="U29" s="41"/>
      <c r="V29" s="44"/>
      <c r="W29" s="41"/>
      <c r="X29" s="44"/>
      <c r="Y29" s="41"/>
      <c r="Z29" s="44"/>
      <c r="AA29" s="41"/>
      <c r="AB29" s="44"/>
      <c r="AC29" s="41"/>
      <c r="AD29" s="44"/>
      <c r="AE29" s="26"/>
      <c r="AF29" s="26"/>
      <c r="AG29" s="26"/>
      <c r="AH29" s="26"/>
      <c r="AI29" s="26"/>
      <c r="AJ29" s="26"/>
      <c r="AK29" s="5"/>
      <c r="AM29" s="5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53" ht="12.75" customHeight="1" x14ac:dyDescent="0.2">
      <c r="B30" s="9"/>
      <c r="C30" s="11"/>
      <c r="D30" s="11"/>
      <c r="E30" s="11"/>
      <c r="F30" s="36"/>
      <c r="G30" s="37"/>
      <c r="H30" s="11"/>
      <c r="I30" s="11"/>
      <c r="J30" s="11"/>
      <c r="K30" s="36"/>
      <c r="L30" s="37"/>
      <c r="M30" s="11"/>
      <c r="N30" s="11"/>
      <c r="O30" s="11"/>
      <c r="P30" s="11"/>
      <c r="Q30" s="11"/>
      <c r="R30" s="13"/>
      <c r="S30" s="2"/>
      <c r="T30" s="2"/>
      <c r="U30" s="41"/>
      <c r="V30" s="44"/>
      <c r="W30" s="41"/>
      <c r="X30" s="44"/>
      <c r="Y30" s="41"/>
      <c r="Z30" s="44"/>
      <c r="AA30" s="41"/>
      <c r="AB30" s="44"/>
      <c r="AC30" s="41"/>
      <c r="AD30" s="44"/>
      <c r="AE30" s="26"/>
      <c r="AF30" s="26"/>
      <c r="AG30" s="26"/>
      <c r="AH30" s="26"/>
      <c r="AI30" s="26"/>
      <c r="AJ30" s="26"/>
      <c r="AK30" s="5"/>
      <c r="AM30" s="5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2:53" ht="12.75" customHeight="1" x14ac:dyDescent="0.2">
      <c r="B31" s="9"/>
      <c r="C31" s="11"/>
      <c r="D31" s="11"/>
      <c r="E31" s="11"/>
      <c r="F31" s="36"/>
      <c r="G31" s="37"/>
      <c r="H31" s="11"/>
      <c r="I31" s="11"/>
      <c r="J31" s="11"/>
      <c r="K31" s="36"/>
      <c r="L31" s="37"/>
      <c r="M31" s="11"/>
      <c r="N31" s="11"/>
      <c r="O31" s="11"/>
      <c r="P31" s="11"/>
      <c r="Q31" s="11"/>
      <c r="R31" s="13"/>
      <c r="S31" s="2"/>
      <c r="T31" s="2"/>
      <c r="U31" s="41"/>
      <c r="V31" s="44"/>
      <c r="W31" s="41"/>
      <c r="X31" s="44"/>
      <c r="Y31" s="41"/>
      <c r="Z31" s="44"/>
      <c r="AA31" s="41"/>
      <c r="AB31" s="44"/>
      <c r="AC31" s="41"/>
      <c r="AD31" s="44"/>
      <c r="AE31" s="26"/>
      <c r="AF31" s="26"/>
      <c r="AG31" s="26"/>
      <c r="AH31" s="26"/>
      <c r="AI31" s="26"/>
      <c r="AJ31" s="26"/>
      <c r="AK31" s="5"/>
      <c r="AM31" s="5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2:53" ht="12.75" customHeight="1" x14ac:dyDescent="0.2">
      <c r="B32" s="9"/>
      <c r="C32" s="11"/>
      <c r="D32" s="11"/>
      <c r="E32" s="11"/>
      <c r="F32" s="36"/>
      <c r="G32" s="37"/>
      <c r="H32" s="11"/>
      <c r="I32" s="11"/>
      <c r="J32" s="11"/>
      <c r="K32" s="36"/>
      <c r="L32" s="37"/>
      <c r="M32" s="11"/>
      <c r="N32" s="11"/>
      <c r="O32" s="11"/>
      <c r="P32" s="11"/>
      <c r="Q32" s="11"/>
      <c r="R32" s="13"/>
      <c r="S32" s="2"/>
      <c r="T32" s="2"/>
      <c r="U32" s="41"/>
      <c r="V32" s="44"/>
      <c r="W32" s="41"/>
      <c r="X32" s="44"/>
      <c r="Y32" s="41"/>
      <c r="Z32" s="44"/>
      <c r="AA32" s="41"/>
      <c r="AB32" s="44"/>
      <c r="AC32" s="41"/>
      <c r="AD32" s="44"/>
      <c r="AE32" s="26"/>
      <c r="AF32" s="26"/>
      <c r="AG32" s="26"/>
      <c r="AH32" s="26"/>
      <c r="AI32" s="26"/>
      <c r="AJ32" s="26"/>
      <c r="AK32" s="5"/>
      <c r="AM32" s="5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70" ht="12.75" customHeight="1" x14ac:dyDescent="0.2">
      <c r="B33" s="9"/>
      <c r="C33" s="11"/>
      <c r="D33" s="11"/>
      <c r="E33" s="11"/>
      <c r="F33" s="36"/>
      <c r="G33" s="37"/>
      <c r="H33" s="11"/>
      <c r="I33" s="11"/>
      <c r="J33" s="11"/>
      <c r="K33" s="36"/>
      <c r="L33" s="37"/>
      <c r="M33" s="11"/>
      <c r="N33" s="11"/>
      <c r="O33" s="11"/>
      <c r="P33" s="11"/>
      <c r="Q33" s="11"/>
      <c r="R33" s="13"/>
      <c r="S33" s="2"/>
      <c r="T33" s="2"/>
      <c r="U33" s="41"/>
      <c r="V33" s="44"/>
      <c r="W33" s="41"/>
      <c r="X33" s="44"/>
      <c r="Y33" s="41"/>
      <c r="Z33" s="44"/>
      <c r="AA33" s="41"/>
      <c r="AB33" s="44"/>
      <c r="AC33" s="41"/>
      <c r="AD33" s="44"/>
      <c r="AE33" s="2"/>
      <c r="AF33" s="2">
        <v>1</v>
      </c>
      <c r="AG33" s="2"/>
      <c r="AH33" s="2"/>
      <c r="AI33" s="2"/>
      <c r="AJ33" s="2"/>
      <c r="AK33" s="5"/>
      <c r="AM33" s="5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70" ht="12.75" customHeight="1" x14ac:dyDescent="0.2">
      <c r="B34" s="9"/>
      <c r="C34" s="11"/>
      <c r="D34" s="11"/>
      <c r="E34" s="11"/>
      <c r="F34" s="36"/>
      <c r="G34" s="37"/>
      <c r="H34" s="11"/>
      <c r="I34" s="11"/>
      <c r="J34" s="11"/>
      <c r="K34" s="36"/>
      <c r="L34" s="37"/>
      <c r="M34" s="11"/>
      <c r="N34" s="11"/>
      <c r="O34" s="11"/>
      <c r="P34" s="11"/>
      <c r="Q34" s="11"/>
      <c r="R34" s="13"/>
      <c r="S34" s="2"/>
      <c r="T34" s="2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2"/>
      <c r="AF34" s="2"/>
      <c r="AG34" s="2"/>
      <c r="AH34" s="2"/>
      <c r="AI34" s="2"/>
      <c r="AJ34" s="2"/>
      <c r="AK34" s="5"/>
      <c r="AM34" s="5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70" ht="12.75" customHeight="1" x14ac:dyDescent="0.2">
      <c r="B35" s="9"/>
      <c r="C35" s="11"/>
      <c r="D35" s="11"/>
      <c r="E35" s="11"/>
      <c r="F35" s="36"/>
      <c r="G35" s="37"/>
      <c r="H35" s="11"/>
      <c r="I35" s="11"/>
      <c r="J35" s="11"/>
      <c r="K35" s="36"/>
      <c r="L35" s="37"/>
      <c r="M35" s="11"/>
      <c r="N35" s="11"/>
      <c r="O35" s="11"/>
      <c r="P35" s="11"/>
      <c r="Q35" s="11"/>
      <c r="R35" s="13"/>
      <c r="S35" s="2"/>
      <c r="T35" s="2"/>
      <c r="U35" s="46"/>
      <c r="V35" s="17"/>
      <c r="W35" s="46"/>
      <c r="X35" s="17"/>
      <c r="Y35" s="46"/>
      <c r="Z35" s="17"/>
      <c r="AA35" s="46"/>
      <c r="AB35" s="17"/>
      <c r="AC35" s="46"/>
      <c r="AD35" s="17"/>
      <c r="AE35" s="2"/>
      <c r="AF35" s="2"/>
      <c r="AG35" s="2"/>
      <c r="AH35" s="2"/>
      <c r="AI35" s="2"/>
      <c r="AJ35" s="2"/>
      <c r="AK35" s="5"/>
      <c r="AM35" s="5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70" ht="12.75" customHeight="1" x14ac:dyDescent="0.2">
      <c r="B36" s="9"/>
      <c r="C36" s="11"/>
      <c r="D36" s="11"/>
      <c r="E36" s="11"/>
      <c r="F36" s="36"/>
      <c r="G36" s="37"/>
      <c r="H36" s="11"/>
      <c r="I36" s="11"/>
      <c r="J36" s="11"/>
      <c r="K36" s="36"/>
      <c r="L36" s="37"/>
      <c r="M36" s="11"/>
      <c r="N36" s="11"/>
      <c r="O36" s="11"/>
      <c r="P36" s="11"/>
      <c r="Q36" s="11"/>
      <c r="R36" s="13"/>
      <c r="S36" s="2"/>
      <c r="T36" s="2"/>
      <c r="U36" s="46"/>
      <c r="V36" s="17"/>
      <c r="W36" s="46"/>
      <c r="X36" s="17"/>
      <c r="Y36" s="46"/>
      <c r="Z36" s="17"/>
      <c r="AA36" s="46"/>
      <c r="AB36" s="17"/>
      <c r="AC36" s="46"/>
      <c r="AD36" s="17"/>
      <c r="AE36" s="2"/>
      <c r="AF36" s="2"/>
      <c r="AG36" s="2"/>
      <c r="AH36" s="2"/>
      <c r="AI36" s="2"/>
      <c r="AJ36" s="2"/>
      <c r="AK36" s="5"/>
      <c r="AM36" s="5"/>
      <c r="AR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5"/>
      <c r="BK36" s="5"/>
      <c r="BL36" s="5"/>
      <c r="BM36" s="45"/>
      <c r="BN36" s="45"/>
      <c r="BO36" s="45"/>
      <c r="BP36" s="45"/>
      <c r="BQ36" s="45"/>
      <c r="BR36" s="45"/>
    </row>
    <row r="37" spans="1:70" ht="12.75" customHeight="1" x14ac:dyDescent="0.2">
      <c r="B37" s="9"/>
      <c r="C37" s="11"/>
      <c r="D37" s="11"/>
      <c r="E37" s="11"/>
      <c r="F37" s="36"/>
      <c r="G37" s="37"/>
      <c r="H37" s="11"/>
      <c r="I37" s="11"/>
      <c r="J37" s="11"/>
      <c r="K37" s="36"/>
      <c r="L37" s="37"/>
      <c r="M37" s="11"/>
      <c r="N37" s="11"/>
      <c r="O37" s="11"/>
      <c r="P37" s="11"/>
      <c r="Q37" s="11"/>
      <c r="R37" s="13"/>
      <c r="S37" s="2"/>
      <c r="T37" s="2"/>
      <c r="U37" s="26"/>
      <c r="V37" s="2"/>
      <c r="W37" s="2"/>
      <c r="X37" s="2"/>
      <c r="Y37" s="2"/>
      <c r="Z37" s="2"/>
      <c r="AA37" s="26"/>
      <c r="AB37" s="26"/>
      <c r="AC37" s="2"/>
      <c r="AD37" s="2"/>
      <c r="AE37" s="2"/>
      <c r="AF37" s="2"/>
      <c r="AG37" s="2"/>
      <c r="AH37" s="2"/>
      <c r="AI37" s="2"/>
      <c r="AJ37" s="2"/>
      <c r="AK37" s="5"/>
      <c r="AM37" s="5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5"/>
      <c r="BK37" s="5"/>
      <c r="BL37" s="5"/>
      <c r="BM37" s="45"/>
      <c r="BN37" s="45"/>
      <c r="BO37" s="45"/>
      <c r="BP37" s="45"/>
      <c r="BQ37" s="45"/>
      <c r="BR37" s="45"/>
    </row>
    <row r="38" spans="1:70" ht="12.75" customHeight="1" x14ac:dyDescent="0.2">
      <c r="B38" s="9"/>
      <c r="C38" s="11"/>
      <c r="D38" s="11"/>
      <c r="E38" s="11"/>
      <c r="F38" s="36"/>
      <c r="G38" s="37"/>
      <c r="H38" s="11"/>
      <c r="I38" s="11"/>
      <c r="J38" s="11"/>
      <c r="K38" s="36"/>
      <c r="L38" s="37"/>
      <c r="M38" s="11"/>
      <c r="N38" s="11"/>
      <c r="O38" s="11"/>
      <c r="P38" s="11"/>
      <c r="Q38" s="11"/>
      <c r="R38" s="13"/>
      <c r="S38" s="2"/>
      <c r="T38" s="2"/>
      <c r="U38" s="26"/>
      <c r="V38" s="2"/>
      <c r="W38" s="2"/>
      <c r="X38" s="2"/>
      <c r="Y38" s="2"/>
      <c r="Z38" s="2"/>
      <c r="AA38" s="26"/>
      <c r="AB38" s="26"/>
      <c r="AC38" s="2"/>
      <c r="AD38" s="2"/>
      <c r="AE38" s="2"/>
      <c r="AF38" s="2"/>
      <c r="AG38" s="2"/>
      <c r="AH38" s="2"/>
      <c r="AI38" s="2"/>
      <c r="AJ38" s="2"/>
      <c r="AK38" s="5"/>
      <c r="AM38" s="5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5"/>
      <c r="BK38" s="5"/>
      <c r="BL38" s="5"/>
      <c r="BM38" s="45"/>
      <c r="BN38" s="45"/>
      <c r="BO38" s="45"/>
      <c r="BP38" s="45"/>
      <c r="BQ38" s="45"/>
      <c r="BR38" s="45"/>
    </row>
    <row r="39" spans="1:70" ht="12.75" customHeight="1" x14ac:dyDescent="0.2"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3"/>
      <c r="S39" s="2"/>
      <c r="T39" s="2"/>
      <c r="U39" s="26"/>
      <c r="V39" s="2"/>
      <c r="W39" s="2"/>
      <c r="X39" s="2"/>
      <c r="Y39" s="2"/>
      <c r="Z39" s="2"/>
      <c r="AA39" s="26"/>
      <c r="AB39" s="26"/>
      <c r="AC39" s="2"/>
      <c r="AD39" s="2"/>
      <c r="AE39" s="2"/>
      <c r="AF39" s="2"/>
      <c r="AG39" s="2"/>
      <c r="AH39" s="2"/>
      <c r="AI39" s="2"/>
      <c r="AJ39" s="2"/>
      <c r="AK39" s="5"/>
      <c r="AM39" s="5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5"/>
      <c r="BK39" s="5"/>
      <c r="BL39" s="5"/>
      <c r="BM39" s="45"/>
      <c r="BN39" s="45"/>
      <c r="BO39" s="45"/>
      <c r="BP39" s="45"/>
      <c r="BQ39" s="45"/>
      <c r="BR39" s="45"/>
    </row>
    <row r="40" spans="1:70" ht="14.25" customHeight="1" thickBot="1" x14ac:dyDescent="0.25">
      <c r="B40" s="47"/>
      <c r="C40" s="4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48"/>
      <c r="O40" s="48"/>
      <c r="P40" s="48"/>
      <c r="Q40" s="48"/>
      <c r="R40" s="49"/>
      <c r="S40" s="2"/>
      <c r="T40" s="2"/>
      <c r="U40" s="26"/>
      <c r="V40" s="2"/>
      <c r="W40" s="2"/>
      <c r="X40" s="2"/>
      <c r="Y40" s="2"/>
      <c r="Z40" s="2"/>
      <c r="AA40" s="26"/>
      <c r="AB40" s="26"/>
      <c r="AC40" s="2"/>
      <c r="AD40" s="2"/>
      <c r="AE40" s="2"/>
      <c r="AF40" s="2"/>
      <c r="AG40" s="2"/>
      <c r="AH40" s="2"/>
      <c r="AI40" s="2"/>
      <c r="AJ40" s="2"/>
      <c r="AK40" s="5"/>
      <c r="AM40" s="5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5"/>
      <c r="BK40" s="5"/>
      <c r="BL40" s="5"/>
      <c r="BM40" s="45"/>
      <c r="BN40" s="45"/>
      <c r="BO40" s="45"/>
      <c r="BP40" s="45"/>
      <c r="BQ40" s="45"/>
      <c r="BR40" s="45"/>
    </row>
    <row r="41" spans="1:70" ht="11.25" customHeight="1" x14ac:dyDescent="0.2">
      <c r="S41" s="5"/>
      <c r="T41" s="5"/>
      <c r="V41" s="5"/>
      <c r="W41" s="5"/>
      <c r="X41" s="5"/>
      <c r="Y41" s="5"/>
      <c r="Z41" s="5"/>
      <c r="AC41" s="5"/>
      <c r="AD41" s="5"/>
      <c r="AE41" s="5"/>
      <c r="AF41" s="5"/>
      <c r="AG41" s="5"/>
      <c r="AH41" s="5"/>
      <c r="AI41" s="5"/>
      <c r="AJ41" s="5"/>
      <c r="AK41" s="5"/>
      <c r="AM41" s="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5"/>
      <c r="BK41" s="5"/>
      <c r="BL41" s="5"/>
      <c r="BM41" s="45"/>
      <c r="BN41" s="45"/>
      <c r="BO41" s="45"/>
      <c r="BP41" s="45"/>
      <c r="BQ41" s="45"/>
      <c r="BR41" s="45"/>
    </row>
    <row r="42" spans="1:70" ht="11.25" customHeight="1" x14ac:dyDescent="0.2">
      <c r="A42" s="50"/>
      <c r="B42" s="125" t="s">
        <v>14</v>
      </c>
      <c r="C42" s="125" t="s">
        <v>15</v>
      </c>
      <c r="D42" s="2"/>
      <c r="E42" s="2"/>
      <c r="F42" s="5"/>
      <c r="G42" s="5"/>
      <c r="H42" s="5"/>
      <c r="I42" s="5"/>
      <c r="J42" s="5"/>
      <c r="L42" s="5"/>
      <c r="M42" s="5"/>
      <c r="N42" s="5"/>
      <c r="O42" s="5"/>
      <c r="P42" s="5"/>
      <c r="Q42" s="5"/>
      <c r="S42" s="5"/>
      <c r="T42" s="5"/>
      <c r="V42" s="5"/>
      <c r="W42" s="5"/>
      <c r="X42" s="5"/>
      <c r="Y42" s="5"/>
      <c r="Z42" s="5"/>
      <c r="AC42" s="5"/>
      <c r="AD42" s="5"/>
      <c r="AE42" s="5"/>
      <c r="AF42" s="5"/>
      <c r="AG42" s="5"/>
      <c r="AH42" s="5"/>
      <c r="AI42" s="5"/>
      <c r="AJ42" s="5"/>
      <c r="AK42" s="5"/>
      <c r="AM42" s="5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5"/>
      <c r="BK42" s="5"/>
      <c r="BL42" s="5"/>
      <c r="BM42" s="45"/>
      <c r="BN42" s="45"/>
      <c r="BO42" s="45"/>
      <c r="BP42" s="45"/>
      <c r="BQ42" s="45"/>
      <c r="BR42" s="45"/>
    </row>
    <row r="43" spans="1:70" ht="11.25" customHeight="1" x14ac:dyDescent="0.2">
      <c r="A43" s="50"/>
      <c r="B43" s="51">
        <v>1</v>
      </c>
      <c r="C43" s="52" t="s">
        <v>16</v>
      </c>
      <c r="D43" s="2"/>
      <c r="E43" s="2"/>
      <c r="F43" s="5"/>
      <c r="G43" s="5"/>
      <c r="H43" s="5"/>
      <c r="I43" s="5"/>
      <c r="J43" s="5"/>
      <c r="K43" s="2" t="s">
        <v>104</v>
      </c>
      <c r="L43" s="5"/>
      <c r="M43" s="5"/>
      <c r="N43" s="5"/>
      <c r="O43" s="5"/>
      <c r="P43" s="5"/>
      <c r="Q43" s="5"/>
      <c r="S43" s="5"/>
      <c r="T43" s="5"/>
      <c r="V43" s="5"/>
      <c r="W43" s="5"/>
      <c r="X43" s="5"/>
      <c r="Y43" s="5"/>
      <c r="Z43" s="5"/>
      <c r="AC43" s="5"/>
      <c r="AD43" s="5"/>
      <c r="AE43" s="5"/>
      <c r="AF43" s="5"/>
      <c r="AG43" s="5"/>
      <c r="AH43" s="5"/>
      <c r="AI43" s="5"/>
      <c r="AJ43" s="5"/>
      <c r="AK43" s="5"/>
      <c r="AM43" s="5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5"/>
      <c r="BK43" s="5"/>
      <c r="BL43" s="5"/>
      <c r="BM43" s="45"/>
      <c r="BN43" s="45"/>
      <c r="BO43" s="45"/>
      <c r="BP43" s="45"/>
      <c r="BQ43" s="45"/>
      <c r="BR43" s="45"/>
    </row>
    <row r="44" spans="1:70" ht="11.25" customHeight="1" x14ac:dyDescent="0.2">
      <c r="A44" s="50"/>
      <c r="B44" s="51">
        <v>2</v>
      </c>
      <c r="C44" s="52" t="s">
        <v>18</v>
      </c>
      <c r="D44" s="2"/>
      <c r="E44" s="2"/>
      <c r="F44" s="5"/>
      <c r="G44" s="5"/>
      <c r="H44" s="5"/>
      <c r="I44" s="5"/>
      <c r="J44" s="5"/>
      <c r="K44" s="2" t="s">
        <v>17</v>
      </c>
      <c r="L44" s="5"/>
      <c r="M44" s="5"/>
      <c r="N44" s="5"/>
      <c r="O44" s="5"/>
      <c r="P44" s="5"/>
      <c r="Q44" s="5"/>
      <c r="S44" s="5"/>
      <c r="T44" s="5"/>
      <c r="V44" s="5"/>
      <c r="W44" s="5"/>
      <c r="X44" s="5"/>
      <c r="Y44" s="5"/>
      <c r="Z44" s="5"/>
      <c r="AC44" s="5"/>
      <c r="AD44" s="5"/>
      <c r="AE44" s="5"/>
      <c r="AF44" s="5"/>
      <c r="AG44" s="5"/>
      <c r="AH44" s="5"/>
      <c r="AI44" s="5"/>
      <c r="AJ44" s="5"/>
      <c r="AK44" s="5"/>
      <c r="AM44" s="5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5"/>
      <c r="BK44" s="5"/>
      <c r="BL44" s="5"/>
      <c r="BM44" s="45"/>
      <c r="BN44" s="45"/>
      <c r="BO44" s="45"/>
      <c r="BP44" s="45"/>
      <c r="BQ44" s="45"/>
      <c r="BR44" s="45"/>
    </row>
    <row r="45" spans="1:70" ht="11.25" customHeight="1" x14ac:dyDescent="0.2">
      <c r="A45" s="50"/>
      <c r="B45" s="51">
        <v>3</v>
      </c>
      <c r="C45" s="52" t="s">
        <v>20</v>
      </c>
      <c r="D45" s="2"/>
      <c r="E45" s="2"/>
      <c r="F45" s="5"/>
      <c r="G45" s="5"/>
      <c r="H45" s="5"/>
      <c r="I45" s="5"/>
      <c r="J45" s="5"/>
      <c r="K45" s="2" t="s">
        <v>19</v>
      </c>
      <c r="L45" s="5"/>
      <c r="M45" s="5"/>
      <c r="N45" s="5"/>
      <c r="O45" s="5"/>
      <c r="P45" s="5"/>
      <c r="Q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M45" s="5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70" ht="11.25" customHeight="1" x14ac:dyDescent="0.2">
      <c r="A46" s="50"/>
      <c r="B46" s="51">
        <v>4</v>
      </c>
      <c r="C46" s="52" t="s">
        <v>24</v>
      </c>
      <c r="D46" s="2"/>
      <c r="E46" s="2"/>
      <c r="F46" s="5"/>
      <c r="G46" s="5"/>
      <c r="H46" s="5"/>
      <c r="I46" s="5"/>
      <c r="J46" s="5"/>
      <c r="K46" s="2" t="s">
        <v>21</v>
      </c>
      <c r="L46" s="5"/>
      <c r="M46" s="5"/>
      <c r="N46" s="5"/>
      <c r="O46" s="5"/>
      <c r="P46" s="5"/>
      <c r="Q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M46" s="5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70" ht="11.25" customHeight="1" x14ac:dyDescent="0.2">
      <c r="A47" s="50"/>
      <c r="B47" s="51">
        <v>5</v>
      </c>
      <c r="C47" s="52" t="s">
        <v>33</v>
      </c>
      <c r="D47" s="2"/>
      <c r="E47" s="2"/>
      <c r="F47" s="5"/>
      <c r="G47" s="5"/>
      <c r="H47" s="5"/>
      <c r="I47" s="5"/>
      <c r="J47" s="5"/>
      <c r="K47" s="2" t="s">
        <v>22</v>
      </c>
      <c r="L47" s="2" t="s">
        <v>23</v>
      </c>
      <c r="M47" s="5"/>
      <c r="N47" s="5"/>
      <c r="O47" s="5"/>
      <c r="P47" s="5"/>
      <c r="Q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M47" s="5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70" ht="11.25" customHeight="1" x14ac:dyDescent="0.2">
      <c r="A48" s="50"/>
      <c r="B48" s="51">
        <v>6</v>
      </c>
      <c r="C48" s="52" t="s">
        <v>36</v>
      </c>
      <c r="D48" s="2"/>
      <c r="E48" s="2"/>
      <c r="F48" s="5"/>
      <c r="G48" s="5"/>
      <c r="H48" s="5"/>
      <c r="I48" s="5"/>
      <c r="J48" s="5"/>
      <c r="K48" s="2" t="s">
        <v>25</v>
      </c>
      <c r="L48" s="2" t="s">
        <v>26</v>
      </c>
      <c r="M48" s="5"/>
      <c r="N48" s="5"/>
      <c r="O48" s="5"/>
      <c r="P48" s="5"/>
      <c r="Q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M48" s="5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1.25" customHeight="1" x14ac:dyDescent="0.2">
      <c r="A49" s="50"/>
      <c r="B49" s="51">
        <v>7</v>
      </c>
      <c r="C49" s="52" t="s">
        <v>38</v>
      </c>
      <c r="D49" s="2"/>
      <c r="E49" s="2"/>
      <c r="F49" s="5"/>
      <c r="G49" s="5"/>
      <c r="H49" s="5"/>
      <c r="I49" s="5"/>
      <c r="J49" s="5"/>
      <c r="K49" s="26" t="s">
        <v>27</v>
      </c>
      <c r="L49" s="26" t="s">
        <v>28</v>
      </c>
      <c r="M49" s="5"/>
      <c r="N49" s="5"/>
      <c r="O49" s="5"/>
      <c r="P49" s="5"/>
      <c r="Q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M49" s="5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1.25" customHeight="1" x14ac:dyDescent="0.2">
      <c r="A50" s="50"/>
      <c r="B50" s="51">
        <v>8</v>
      </c>
      <c r="C50" s="52" t="s">
        <v>40</v>
      </c>
      <c r="D50" s="2"/>
      <c r="E50" s="2"/>
      <c r="F50" s="5"/>
      <c r="G50" s="5"/>
      <c r="H50" s="5"/>
      <c r="I50" s="5"/>
      <c r="J50" s="5"/>
      <c r="K50" s="26" t="s">
        <v>29</v>
      </c>
      <c r="L50" s="26" t="s">
        <v>30</v>
      </c>
      <c r="M50" s="5"/>
      <c r="N50" s="5"/>
      <c r="O50" s="5"/>
      <c r="P50" s="5"/>
      <c r="Q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M50" s="5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1.25" customHeight="1" x14ac:dyDescent="0.2">
      <c r="A51" s="50"/>
      <c r="B51" s="51">
        <v>9</v>
      </c>
      <c r="C51" s="52" t="s">
        <v>41</v>
      </c>
      <c r="D51" s="2"/>
      <c r="E51" s="2"/>
      <c r="F51" s="5"/>
      <c r="G51" s="5"/>
      <c r="H51" s="5"/>
      <c r="I51" s="5"/>
      <c r="J51" s="5"/>
      <c r="K51" s="2" t="s">
        <v>31</v>
      </c>
      <c r="L51" s="2" t="s">
        <v>32</v>
      </c>
      <c r="M51" s="5"/>
      <c r="N51" s="5"/>
      <c r="O51" s="5"/>
      <c r="P51" s="5"/>
      <c r="Q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M51" s="5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1.25" customHeight="1" x14ac:dyDescent="0.2">
      <c r="A52" s="50"/>
      <c r="B52" s="51">
        <v>10</v>
      </c>
      <c r="C52" s="52" t="s">
        <v>42</v>
      </c>
      <c r="D52" s="2"/>
      <c r="E52" s="2"/>
      <c r="F52" s="5"/>
      <c r="G52" s="5"/>
      <c r="H52" s="5"/>
      <c r="I52" s="5"/>
      <c r="J52" s="5"/>
      <c r="K52" s="2" t="s">
        <v>34</v>
      </c>
      <c r="L52" s="2" t="s">
        <v>35</v>
      </c>
      <c r="M52" s="5"/>
      <c r="N52" s="5"/>
      <c r="O52" s="5"/>
      <c r="P52" s="5"/>
      <c r="Q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M52" s="5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1.25" customHeight="1" x14ac:dyDescent="0.2">
      <c r="A53" s="50"/>
      <c r="B53" s="51">
        <v>12</v>
      </c>
      <c r="C53" s="52" t="s">
        <v>43</v>
      </c>
      <c r="D53" s="2"/>
      <c r="E53" s="2"/>
      <c r="F53" s="5"/>
      <c r="G53" s="5"/>
      <c r="H53" s="5"/>
      <c r="I53" s="5"/>
      <c r="J53" s="5"/>
      <c r="K53" s="121" t="s">
        <v>37</v>
      </c>
      <c r="L53" s="121">
        <v>1</v>
      </c>
      <c r="M53" s="121" t="str">
        <f>CHOOSE(L53, L47, L48,L49,L50,L51,L52)</f>
        <v>Highest % Positive Items</v>
      </c>
      <c r="N53" s="121">
        <f>CHOOSE(L53, T5, V5,X5,Z5,AB5,AD5)</f>
        <v>19</v>
      </c>
      <c r="O53" s="122">
        <f>CHOOSE(L53, U5, W5,Y5,AA5,AC5,AE5)</f>
        <v>0.88</v>
      </c>
      <c r="P53" s="121">
        <f>CHOOSE(L53, T6, V6,X6,Z6,AB6,AD6)</f>
        <v>23</v>
      </c>
      <c r="Q53" s="122">
        <f>CHOOSE(L53, U6, W6,Y6,AA6,AC6,AE6)</f>
        <v>0.88</v>
      </c>
      <c r="R53" s="121">
        <f>CHOOSE(L53, T7, V7,X7,Z7,AB7,AD7)</f>
        <v>7</v>
      </c>
      <c r="S53" s="122">
        <f>CHOOSE(L53, U7, W7,Y7,AA7,AC7,AE7)</f>
        <v>0.88</v>
      </c>
      <c r="T53" s="121">
        <f>CHOOSE(L53, T8, V8,X8,Z8,AB8,AD8)</f>
        <v>9</v>
      </c>
      <c r="U53" s="122">
        <f>CHOOSE(L53, U8, W8,Y8,AA8,AC8,AE8)</f>
        <v>0.86</v>
      </c>
      <c r="V53" s="121">
        <f>CHOOSE(L53, T9, V9,X9,Z9,AB9,AD9)</f>
        <v>4</v>
      </c>
      <c r="W53" s="122">
        <f>CHOOSE(L53, U9, W9,Y9,AA9,AC9,AE9)</f>
        <v>0.86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M53" s="5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1.25" customHeight="1" x14ac:dyDescent="0.2">
      <c r="A54" s="50"/>
      <c r="B54" s="51">
        <v>13</v>
      </c>
      <c r="C54" s="52" t="s">
        <v>44</v>
      </c>
      <c r="D54" s="2"/>
      <c r="E54" s="2"/>
      <c r="F54" s="5"/>
      <c r="G54" s="5"/>
      <c r="H54" s="5"/>
      <c r="I54" s="5"/>
      <c r="J54" s="5"/>
      <c r="K54" s="121" t="s">
        <v>39</v>
      </c>
      <c r="L54" s="121">
        <v>3</v>
      </c>
      <c r="M54" s="121" t="str">
        <f>CHOOSE(L54, L47, L48, L49,L50,L51,L52)</f>
        <v>Highest % Negative Items</v>
      </c>
      <c r="N54" s="121">
        <f>CHOOSE(L54, T5, V5, X5,Z5,AB5,AD5)</f>
        <v>18</v>
      </c>
      <c r="O54" s="122">
        <f>CHOOSE(L54, U5, W5, Y5,AA5,AC5,AE5)</f>
        <v>0.27</v>
      </c>
      <c r="P54" s="121">
        <f>CHOOSE(L54, T6, V6, X6,Z6,AB6,AD6)</f>
        <v>10</v>
      </c>
      <c r="Q54" s="122">
        <f>CHOOSE(L54, U6, W6, Y6,AA6,AC6,AE6)</f>
        <v>0.23</v>
      </c>
      <c r="R54" s="121">
        <f>CHOOSE(L54, T7, V7, X7,Z7,AB7,AD7)</f>
        <v>26</v>
      </c>
      <c r="S54" s="122">
        <f>CHOOSE(L54, U7, W7, Y7,AA7,AC7,AE7)</f>
        <v>0.23</v>
      </c>
      <c r="T54" s="121">
        <f>CHOOSE(L54, T8, V8, X8,Z8,AB8,AD8)</f>
        <v>5</v>
      </c>
      <c r="U54" s="122">
        <f>CHOOSE(L54, U8, W8, Y8,AA8,AC8,AE8)</f>
        <v>0.2</v>
      </c>
      <c r="V54" s="121">
        <f>CHOOSE(L54, T9, V9, X9,Z9,AB9,AD9)</f>
        <v>12</v>
      </c>
      <c r="W54" s="122">
        <f>CHOOSE(L54, U9, W9, Y9,AA9,AC9,AE9)</f>
        <v>0.2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M54" s="5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1.25" customHeight="1" x14ac:dyDescent="0.25">
      <c r="A55" s="50"/>
      <c r="B55" s="51">
        <v>14</v>
      </c>
      <c r="C55" s="52" t="s">
        <v>45</v>
      </c>
      <c r="D55" s="2"/>
      <c r="E55" s="2"/>
      <c r="F55" s="5"/>
      <c r="G55" s="5"/>
      <c r="H55" s="5"/>
      <c r="I55" s="5"/>
      <c r="J55" s="5"/>
      <c r="K55" s="121"/>
      <c r="L55" s="123"/>
      <c r="M55" s="123"/>
      <c r="N55" s="123" t="str">
        <f>CONCATENATE("Q"&amp;N53)</f>
        <v>Q19</v>
      </c>
      <c r="O55" s="124" t="str">
        <f>VLOOKUP(N53, B43:C126, 2,FALSE)</f>
        <v>My supervisor supports my need to balance work and other life issues.</v>
      </c>
      <c r="P55" s="123" t="str">
        <f>CONCATENATE("Q"&amp;P53)</f>
        <v>Q23</v>
      </c>
      <c r="Q55" s="124" t="str">
        <f>VLOOKUP(P53,  B43:C126, 2,FALSE)</f>
        <v>My supervisor treats me with respect.</v>
      </c>
      <c r="R55" s="123" t="str">
        <f>CONCATENATE("Q"&amp;R53)</f>
        <v>Q7</v>
      </c>
      <c r="S55" s="124" t="str">
        <f>VLOOKUP(R53, B43:C126, 2,FALSE)</f>
        <v>I know how my work relates to the agency's goals.</v>
      </c>
      <c r="T55" s="123" t="str">
        <f>CONCATENATE("Q"&amp;T53)</f>
        <v>Q9</v>
      </c>
      <c r="U55" s="124" t="str">
        <f>VLOOKUP(T53,B43:C126, 2,FALSE)</f>
        <v>The people I work with cooperate to get the job done.</v>
      </c>
      <c r="V55" s="123" t="str">
        <f>CONCATENATE("Q"&amp;V53)</f>
        <v>Q4</v>
      </c>
      <c r="W55" s="124" t="str">
        <f>VLOOKUP(V53,B43:C126, 2,FALSE)</f>
        <v>I know what is expected of me on the job.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M55" s="5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1.25" customHeight="1" x14ac:dyDescent="0.25">
      <c r="A56" s="50"/>
      <c r="B56" s="51">
        <v>15</v>
      </c>
      <c r="C56" s="52" t="s">
        <v>46</v>
      </c>
      <c r="D56" s="2"/>
      <c r="E56" s="2"/>
      <c r="F56" s="5"/>
      <c r="G56" s="5"/>
      <c r="H56" s="5"/>
      <c r="I56" s="5"/>
      <c r="J56" s="5"/>
      <c r="K56" s="121"/>
      <c r="L56" s="123"/>
      <c r="M56" s="123"/>
      <c r="N56" s="123" t="str">
        <f>CONCATENATE("Q"&amp;N54)</f>
        <v>Q18</v>
      </c>
      <c r="O56" s="124" t="str">
        <f>VLOOKUP(N54,B43:C126, 2,FALSE)</f>
        <v>I believe the results of this survey will be used to make my agency a better place to work.</v>
      </c>
      <c r="P56" s="123" t="str">
        <f>CONCATENATE("Q"&amp;P54)</f>
        <v>Q10</v>
      </c>
      <c r="Q56" s="124" t="str">
        <f>VLOOKUP(P54,B43:C126, 2,FALSE)</f>
        <v>In my work unit, steps are taken to deal with a poor performer who cannot or will not improve.</v>
      </c>
      <c r="R56" s="123" t="str">
        <f>CONCATENATE("Q"&amp;R54)</f>
        <v>Q26</v>
      </c>
      <c r="S56" s="124" t="str">
        <f>VLOOKUP(R54,B43:C126, 2,FALSE)</f>
        <v>In my organization, senior leaders generate high levels of motivation and commitment in the workforce.</v>
      </c>
      <c r="T56" s="123" t="str">
        <f>CONCATENATE("Q"&amp;T54)</f>
        <v>Q5</v>
      </c>
      <c r="U56" s="124" t="str">
        <f>VLOOKUP(T54,B43:C126, 2,FALSE)</f>
        <v>My workload is reasonable.</v>
      </c>
      <c r="V56" s="123" t="str">
        <f>CONCATENATE("Q"&amp;V54)</f>
        <v>Q12</v>
      </c>
      <c r="W56" s="124" t="str">
        <f>VLOOKUP(V54,B43:C126, 2,FALSE)</f>
        <v>In my work unit, differences in performance are recognized in a meaningful way.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M56" s="5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1.25" customHeight="1" x14ac:dyDescent="0.2">
      <c r="A57" s="50"/>
      <c r="B57" s="51">
        <v>16</v>
      </c>
      <c r="C57" s="52" t="s">
        <v>47</v>
      </c>
      <c r="D57" s="2"/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M57" s="5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ht="11.25" customHeight="1" x14ac:dyDescent="0.2">
      <c r="A58" s="50"/>
      <c r="B58" s="51">
        <v>17</v>
      </c>
      <c r="C58" s="52" t="s">
        <v>48</v>
      </c>
      <c r="D58" s="2"/>
      <c r="E58" s="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11.25" customHeight="1" x14ac:dyDescent="0.2">
      <c r="A59" s="50"/>
      <c r="B59" s="51">
        <v>18</v>
      </c>
      <c r="C59" s="52" t="s">
        <v>49</v>
      </c>
      <c r="D59" s="2"/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1.25" customHeight="1" x14ac:dyDescent="0.2">
      <c r="A60" s="50"/>
      <c r="B60" s="51">
        <v>19</v>
      </c>
      <c r="C60" s="52" t="s">
        <v>50</v>
      </c>
      <c r="D60" s="2"/>
      <c r="E60" s="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53" ht="11.25" customHeight="1" x14ac:dyDescent="0.2">
      <c r="A61" s="50"/>
      <c r="B61" s="51">
        <v>20</v>
      </c>
      <c r="C61" s="52" t="s">
        <v>51</v>
      </c>
      <c r="D61" s="2"/>
      <c r="E61" s="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53" ht="11.25" customHeight="1" x14ac:dyDescent="0.2">
      <c r="A62" s="50"/>
      <c r="B62" s="51">
        <v>21</v>
      </c>
      <c r="C62" s="52" t="s">
        <v>52</v>
      </c>
      <c r="D62" s="2"/>
      <c r="E62" s="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53" ht="11.25" customHeight="1" x14ac:dyDescent="0.2">
      <c r="A63" s="50"/>
      <c r="B63" s="51">
        <v>22</v>
      </c>
      <c r="C63" s="52" t="s">
        <v>53</v>
      </c>
      <c r="D63" s="2"/>
      <c r="E63" s="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53" ht="11.25" customHeight="1" x14ac:dyDescent="0.2">
      <c r="A64" s="50"/>
      <c r="B64" s="51">
        <v>23</v>
      </c>
      <c r="C64" s="52" t="s">
        <v>54</v>
      </c>
      <c r="D64" s="2"/>
      <c r="E64" s="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1.25" customHeight="1" x14ac:dyDescent="0.2">
      <c r="A65" s="50"/>
      <c r="B65" s="51">
        <v>24</v>
      </c>
      <c r="C65" s="52" t="s">
        <v>55</v>
      </c>
      <c r="D65" s="2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1.25" customHeight="1" x14ac:dyDescent="0.2">
      <c r="A66" s="50"/>
      <c r="B66" s="51">
        <v>25</v>
      </c>
      <c r="C66" s="52" t="s">
        <v>56</v>
      </c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1.25" customHeight="1" x14ac:dyDescent="0.2">
      <c r="A67" s="50"/>
      <c r="B67" s="51">
        <v>26</v>
      </c>
      <c r="C67" s="52" t="s">
        <v>57</v>
      </c>
      <c r="D67" s="2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1.25" customHeight="1" x14ac:dyDescent="0.2">
      <c r="A68" s="50"/>
      <c r="B68" s="51">
        <v>27</v>
      </c>
      <c r="C68" s="52" t="s">
        <v>58</v>
      </c>
      <c r="D68" s="2"/>
      <c r="E68" s="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1.25" customHeight="1" x14ac:dyDescent="0.2">
      <c r="A69" s="50"/>
      <c r="B69" s="51">
        <v>28</v>
      </c>
      <c r="C69" s="52" t="s">
        <v>59</v>
      </c>
      <c r="D69" s="2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1.25" customHeight="1" x14ac:dyDescent="0.2">
      <c r="A70" s="50"/>
      <c r="B70" s="51">
        <v>29</v>
      </c>
      <c r="C70" s="52" t="s">
        <v>100</v>
      </c>
      <c r="D70" s="2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1.25" customHeight="1" x14ac:dyDescent="0.2">
      <c r="A71" s="50"/>
      <c r="B71" s="51">
        <v>30</v>
      </c>
      <c r="C71" s="52" t="s">
        <v>60</v>
      </c>
      <c r="D71" s="2"/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1.25" customHeight="1" x14ac:dyDescent="0.2">
      <c r="A72" s="50"/>
      <c r="B72" s="51">
        <v>31</v>
      </c>
      <c r="C72" s="52" t="s">
        <v>61</v>
      </c>
      <c r="D72" s="2"/>
      <c r="E72" s="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1.25" customHeight="1" x14ac:dyDescent="0.2">
      <c r="A73" s="50"/>
      <c r="B73" s="51">
        <v>32</v>
      </c>
      <c r="C73" s="52" t="s">
        <v>102</v>
      </c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1.25" customHeight="1" x14ac:dyDescent="0.2">
      <c r="A74" s="50"/>
      <c r="B74" s="51">
        <v>33</v>
      </c>
      <c r="C74" s="52" t="s">
        <v>113</v>
      </c>
      <c r="D74" s="2"/>
      <c r="E74" s="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1.25" customHeight="1" x14ac:dyDescent="0.2">
      <c r="A75" s="50"/>
      <c r="B75" s="51">
        <v>34</v>
      </c>
      <c r="C75" s="52" t="s">
        <v>62</v>
      </c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1.25" customHeight="1" x14ac:dyDescent="0.2">
      <c r="A76" s="50"/>
      <c r="B76" s="51">
        <v>35</v>
      </c>
      <c r="C76" s="52" t="s">
        <v>63</v>
      </c>
      <c r="D76" s="2"/>
      <c r="E76" s="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1.25" customHeight="1" x14ac:dyDescent="0.2">
      <c r="A77" s="50"/>
      <c r="B77" s="51">
        <v>36</v>
      </c>
      <c r="C77" s="52" t="s">
        <v>64</v>
      </c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1.25" customHeight="1" x14ac:dyDescent="0.2">
      <c r="A78" s="50"/>
      <c r="B78" s="51">
        <v>37</v>
      </c>
      <c r="C78" s="52" t="s">
        <v>65</v>
      </c>
      <c r="D78" s="2"/>
      <c r="E78" s="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1.25" customHeight="1" x14ac:dyDescent="0.2">
      <c r="A79" s="50"/>
      <c r="B79" s="51">
        <v>38</v>
      </c>
      <c r="C79" s="52" t="s">
        <v>66</v>
      </c>
      <c r="D79" s="2"/>
      <c r="E79" s="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1.25" customHeight="1" x14ac:dyDescent="0.2">
      <c r="A80" s="50"/>
      <c r="B80" s="51"/>
      <c r="C80" s="52"/>
      <c r="D80" s="2"/>
      <c r="E80" s="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1.25" customHeight="1" x14ac:dyDescent="0.2">
      <c r="A81" s="50"/>
      <c r="B81" s="51"/>
      <c r="C81" s="52"/>
      <c r="D81" s="2"/>
      <c r="E81" s="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1.25" customHeight="1" x14ac:dyDescent="0.2">
      <c r="A82" s="50"/>
      <c r="B82" s="51"/>
      <c r="C82" s="52"/>
      <c r="D82" s="2"/>
      <c r="E82" s="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1.25" customHeight="1" x14ac:dyDescent="0.2">
      <c r="A83" s="50"/>
      <c r="B83" s="51"/>
      <c r="C83" s="52"/>
      <c r="D83" s="2"/>
      <c r="E83" s="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1.25" customHeight="1" x14ac:dyDescent="0.2">
      <c r="A84" s="50"/>
      <c r="B84" s="51"/>
      <c r="C84" s="52"/>
      <c r="D84" s="2"/>
      <c r="E84" s="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1.25" customHeight="1" x14ac:dyDescent="0.2">
      <c r="A85" s="50"/>
      <c r="B85" s="51"/>
      <c r="C85" s="52"/>
      <c r="D85" s="2"/>
      <c r="E85" s="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1.25" customHeight="1" x14ac:dyDescent="0.2">
      <c r="A86" s="50"/>
      <c r="B86" s="51"/>
      <c r="C86" s="52"/>
      <c r="D86" s="2"/>
      <c r="E86" s="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1.25" customHeight="1" x14ac:dyDescent="0.2">
      <c r="A87" s="50"/>
      <c r="B87" s="51"/>
      <c r="C87" s="52"/>
      <c r="D87" s="2"/>
      <c r="E87" s="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1.25" customHeight="1" x14ac:dyDescent="0.2">
      <c r="A88" s="50"/>
      <c r="B88" s="51"/>
      <c r="C88" s="52"/>
      <c r="D88" s="2"/>
      <c r="E88" s="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1.25" customHeight="1" x14ac:dyDescent="0.2">
      <c r="A89" s="50"/>
      <c r="B89" s="51"/>
      <c r="C89" s="52"/>
      <c r="D89" s="2"/>
      <c r="E89" s="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1.25" customHeight="1" x14ac:dyDescent="0.2">
      <c r="A90" s="50"/>
      <c r="B90" s="51"/>
      <c r="C90" s="52"/>
      <c r="D90" s="2"/>
      <c r="E90" s="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1.25" customHeight="1" x14ac:dyDescent="0.2">
      <c r="A91" s="50"/>
      <c r="B91" s="51"/>
      <c r="C91" s="52"/>
      <c r="D91" s="2"/>
      <c r="E91" s="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1.25" customHeight="1" x14ac:dyDescent="0.2">
      <c r="A92" s="50"/>
      <c r="B92" s="51"/>
      <c r="C92" s="52"/>
      <c r="D92" s="2"/>
      <c r="E92" s="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1.25" customHeight="1" x14ac:dyDescent="0.2">
      <c r="A93" s="50"/>
      <c r="B93" s="51"/>
      <c r="C93" s="52"/>
      <c r="D93" s="2"/>
      <c r="E93" s="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1.25" customHeight="1" x14ac:dyDescent="0.2">
      <c r="A94" s="50"/>
      <c r="B94" s="51"/>
      <c r="C94" s="52"/>
      <c r="D94" s="2"/>
      <c r="E94" s="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1.25" customHeight="1" x14ac:dyDescent="0.2">
      <c r="A95" s="50"/>
      <c r="B95" s="51"/>
      <c r="C95" s="52"/>
      <c r="D95" s="2"/>
      <c r="E95" s="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1.25" customHeight="1" x14ac:dyDescent="0.2">
      <c r="A96" s="50"/>
      <c r="B96" s="51"/>
      <c r="C96" s="52"/>
      <c r="D96" s="2"/>
      <c r="E96" s="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1.25" customHeight="1" x14ac:dyDescent="0.2">
      <c r="A97" s="50"/>
      <c r="B97" s="51"/>
      <c r="C97" s="52"/>
      <c r="D97" s="2"/>
      <c r="E97" s="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1.25" customHeight="1" x14ac:dyDescent="0.2">
      <c r="A98" s="50"/>
      <c r="B98" s="51"/>
      <c r="C98" s="52"/>
      <c r="D98" s="2"/>
      <c r="E98" s="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1.25" customHeight="1" x14ac:dyDescent="0.2">
      <c r="A99" s="50"/>
      <c r="B99" s="51"/>
      <c r="C99" s="52"/>
      <c r="D99" s="2"/>
      <c r="E99" s="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1.25" customHeight="1" x14ac:dyDescent="0.2">
      <c r="A100" s="50"/>
      <c r="B100" s="51"/>
      <c r="C100" s="52"/>
      <c r="D100" s="2"/>
      <c r="E100" s="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1.25" customHeight="1" x14ac:dyDescent="0.2">
      <c r="A101" s="50"/>
      <c r="B101" s="51"/>
      <c r="C101" s="52"/>
      <c r="D101" s="2"/>
      <c r="E101" s="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1.25" customHeight="1" x14ac:dyDescent="0.2">
      <c r="A102" s="50"/>
      <c r="B102" s="51"/>
      <c r="C102" s="52"/>
      <c r="D102" s="2"/>
      <c r="E102" s="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1.25" customHeight="1" x14ac:dyDescent="0.2">
      <c r="A103" s="50"/>
      <c r="B103" s="51"/>
      <c r="C103" s="52"/>
      <c r="D103" s="2"/>
      <c r="E103" s="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1.25" customHeight="1" x14ac:dyDescent="0.2">
      <c r="A104" s="50"/>
      <c r="B104" s="51"/>
      <c r="C104" s="52"/>
      <c r="D104" s="2"/>
      <c r="E104" s="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1.25" customHeight="1" x14ac:dyDescent="0.2">
      <c r="A105" s="50"/>
      <c r="B105" s="51"/>
      <c r="C105" s="52"/>
      <c r="D105" s="2"/>
      <c r="E105" s="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1.25" customHeight="1" x14ac:dyDescent="0.2">
      <c r="A106" s="50"/>
      <c r="B106" s="51"/>
      <c r="C106" s="52"/>
      <c r="D106" s="2"/>
      <c r="E106" s="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1.25" customHeight="1" x14ac:dyDescent="0.2">
      <c r="A107" s="50"/>
      <c r="B107" s="51"/>
      <c r="C107" s="52"/>
      <c r="D107" s="2"/>
      <c r="E107" s="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1.25" customHeight="1" x14ac:dyDescent="0.2">
      <c r="A108" s="50"/>
      <c r="B108" s="51"/>
      <c r="C108" s="52"/>
      <c r="D108" s="2"/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1.25" customHeight="1" x14ac:dyDescent="0.2">
      <c r="A109" s="50"/>
      <c r="B109" s="51"/>
      <c r="C109" s="52"/>
      <c r="D109" s="2"/>
      <c r="E109" s="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1.25" customHeight="1" x14ac:dyDescent="0.2">
      <c r="A110" s="50"/>
      <c r="B110" s="51"/>
      <c r="C110" s="52"/>
      <c r="D110" s="2"/>
      <c r="E110" s="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1.25" customHeight="1" x14ac:dyDescent="0.2">
      <c r="A111" s="50"/>
      <c r="B111" s="51"/>
      <c r="C111" s="52"/>
      <c r="D111" s="2"/>
      <c r="E111" s="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1.25" customHeight="1" x14ac:dyDescent="0.2">
      <c r="A112" s="50"/>
      <c r="B112" s="51"/>
      <c r="C112" s="52"/>
      <c r="D112" s="2"/>
      <c r="E112" s="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1.25" customHeight="1" x14ac:dyDescent="0.2">
      <c r="A113" s="50"/>
      <c r="B113" s="51"/>
      <c r="C113" s="52"/>
      <c r="D113" s="2"/>
      <c r="E113" s="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1.25" customHeight="1" x14ac:dyDescent="0.2">
      <c r="A114" s="50"/>
      <c r="B114" s="51"/>
      <c r="C114" s="52"/>
      <c r="D114" s="2"/>
      <c r="E114" s="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1.25" customHeight="1" x14ac:dyDescent="0.2">
      <c r="A115" s="50"/>
      <c r="B115" s="51"/>
      <c r="C115" s="53"/>
      <c r="D115" s="2"/>
      <c r="E115" s="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1.25" customHeight="1" x14ac:dyDescent="0.2">
      <c r="A116" s="50"/>
      <c r="B116" s="51"/>
      <c r="C116" s="53"/>
      <c r="D116" s="2"/>
      <c r="E116" s="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1.25" customHeight="1" x14ac:dyDescent="0.2">
      <c r="A117" s="50"/>
      <c r="B117" s="51"/>
      <c r="C117" s="53"/>
      <c r="D117" s="2"/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1.25" customHeight="1" x14ac:dyDescent="0.2">
      <c r="A118" s="50"/>
      <c r="B118" s="51"/>
      <c r="C118" s="53"/>
      <c r="D118" s="2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1.25" customHeight="1" x14ac:dyDescent="0.2">
      <c r="A119" s="50"/>
      <c r="B119" s="51"/>
      <c r="C119" s="53"/>
      <c r="D119" s="50"/>
      <c r="E119" s="50"/>
    </row>
    <row r="120" spans="1:17" ht="11.25" customHeight="1" x14ac:dyDescent="0.2">
      <c r="A120" s="50"/>
      <c r="B120" s="51"/>
      <c r="C120" s="53"/>
      <c r="D120" s="50"/>
      <c r="E120" s="50"/>
    </row>
    <row r="121" spans="1:17" ht="11.25" customHeight="1" x14ac:dyDescent="0.2">
      <c r="A121" s="50"/>
      <c r="B121" s="51"/>
      <c r="C121" s="53"/>
      <c r="D121" s="50"/>
      <c r="E121" s="50"/>
    </row>
    <row r="122" spans="1:17" ht="11.25" customHeight="1" x14ac:dyDescent="0.2">
      <c r="A122" s="50"/>
      <c r="B122" s="51"/>
      <c r="C122" s="53"/>
      <c r="D122" s="50"/>
      <c r="E122" s="50"/>
    </row>
    <row r="123" spans="1:17" ht="11.25" customHeight="1" x14ac:dyDescent="0.2">
      <c r="A123" s="50"/>
      <c r="B123" s="51"/>
      <c r="C123" s="53"/>
      <c r="D123" s="50"/>
      <c r="E123" s="50"/>
    </row>
    <row r="124" spans="1:17" ht="11.25" customHeight="1" x14ac:dyDescent="0.2">
      <c r="A124" s="50"/>
      <c r="B124" s="51"/>
      <c r="C124" s="53"/>
      <c r="D124" s="50"/>
      <c r="E124" s="50"/>
    </row>
    <row r="125" spans="1:17" ht="15" x14ac:dyDescent="0.2">
      <c r="A125" s="50"/>
      <c r="B125" s="51"/>
      <c r="C125" s="53"/>
      <c r="D125" s="50"/>
      <c r="E125" s="50"/>
    </row>
    <row r="126" spans="1:17" ht="15" x14ac:dyDescent="0.2">
      <c r="A126" s="50"/>
      <c r="B126" s="51"/>
      <c r="C126" s="53"/>
      <c r="D126" s="50"/>
      <c r="E126" s="50"/>
    </row>
    <row r="127" spans="1:17" ht="15" x14ac:dyDescent="0.2">
      <c r="A127" s="50"/>
      <c r="B127" s="51"/>
      <c r="C127" s="53"/>
      <c r="D127" s="50"/>
      <c r="E127" s="50"/>
    </row>
    <row r="128" spans="1:17" x14ac:dyDescent="0.2">
      <c r="A128" s="50"/>
      <c r="B128" s="50"/>
      <c r="C128" s="50"/>
      <c r="D128" s="50"/>
      <c r="E128" s="50"/>
    </row>
    <row r="129" spans="1:5" x14ac:dyDescent="0.2">
      <c r="A129" s="50"/>
      <c r="B129" s="50"/>
      <c r="C129" s="50"/>
      <c r="D129" s="50"/>
      <c r="E129" s="50"/>
    </row>
    <row r="130" spans="1:5" x14ac:dyDescent="0.2">
      <c r="A130" s="50"/>
      <c r="B130" s="50"/>
      <c r="C130" s="50"/>
      <c r="D130" s="50"/>
      <c r="E130" s="50"/>
    </row>
    <row r="131" spans="1:5" x14ac:dyDescent="0.2">
      <c r="A131" s="50"/>
      <c r="B131" s="50"/>
      <c r="C131" s="50"/>
      <c r="D131" s="50"/>
      <c r="E131" s="50"/>
    </row>
    <row r="132" spans="1:5" x14ac:dyDescent="0.2">
      <c r="A132" s="50"/>
      <c r="B132" s="50"/>
      <c r="C132" s="50"/>
      <c r="D132" s="50"/>
      <c r="E132" s="50"/>
    </row>
    <row r="133" spans="1:5" x14ac:dyDescent="0.2">
      <c r="A133" s="50"/>
      <c r="B133" s="50"/>
      <c r="C133" s="50"/>
      <c r="D133" s="50"/>
      <c r="E133" s="50"/>
    </row>
    <row r="134" spans="1:5" x14ac:dyDescent="0.2">
      <c r="A134" s="50"/>
      <c r="B134" s="50"/>
      <c r="C134" s="50"/>
      <c r="D134" s="50"/>
      <c r="E134" s="50"/>
    </row>
    <row r="135" spans="1:5" x14ac:dyDescent="0.2">
      <c r="A135" s="50"/>
      <c r="B135" s="50"/>
      <c r="C135" s="50"/>
      <c r="D135" s="50"/>
      <c r="E135" s="50"/>
    </row>
    <row r="136" spans="1:5" x14ac:dyDescent="0.2">
      <c r="A136" s="50"/>
      <c r="B136" s="50"/>
      <c r="C136" s="50"/>
      <c r="D136" s="50"/>
      <c r="E136" s="50"/>
    </row>
    <row r="137" spans="1:5" x14ac:dyDescent="0.2">
      <c r="A137" s="50"/>
      <c r="B137" s="50"/>
      <c r="C137" s="50"/>
      <c r="D137" s="50"/>
      <c r="E137" s="50"/>
    </row>
    <row r="138" spans="1:5" x14ac:dyDescent="0.2">
      <c r="A138" s="50"/>
      <c r="B138" s="50"/>
      <c r="C138" s="50"/>
      <c r="D138" s="50"/>
      <c r="E138" s="50"/>
    </row>
    <row r="139" spans="1:5" x14ac:dyDescent="0.2">
      <c r="A139" s="50"/>
      <c r="B139" s="50"/>
      <c r="C139" s="50"/>
      <c r="D139" s="50"/>
      <c r="E139" s="50"/>
    </row>
    <row r="140" spans="1:5" x14ac:dyDescent="0.2">
      <c r="A140" s="50"/>
      <c r="B140" s="50"/>
      <c r="C140" s="50"/>
      <c r="D140" s="50"/>
      <c r="E140" s="50"/>
    </row>
    <row r="141" spans="1:5" x14ac:dyDescent="0.2">
      <c r="A141" s="50"/>
      <c r="B141" s="50"/>
      <c r="C141" s="50"/>
      <c r="D141" s="50"/>
      <c r="E141" s="50"/>
    </row>
    <row r="142" spans="1:5" x14ac:dyDescent="0.2">
      <c r="A142" s="50"/>
      <c r="B142" s="50"/>
      <c r="C142" s="50"/>
      <c r="D142" s="50"/>
      <c r="E142" s="50"/>
    </row>
    <row r="143" spans="1:5" x14ac:dyDescent="0.2">
      <c r="A143" s="50"/>
      <c r="B143" s="50"/>
      <c r="C143" s="50"/>
      <c r="D143" s="50"/>
      <c r="E143" s="50"/>
    </row>
    <row r="144" spans="1:5" x14ac:dyDescent="0.2">
      <c r="A144" s="50"/>
      <c r="B144" s="50"/>
      <c r="C144" s="50"/>
      <c r="D144" s="50"/>
      <c r="E144" s="50"/>
    </row>
    <row r="145" spans="1:5" x14ac:dyDescent="0.2">
      <c r="A145" s="50"/>
      <c r="B145" s="50"/>
      <c r="C145" s="50"/>
      <c r="D145" s="50"/>
      <c r="E145" s="50"/>
    </row>
    <row r="146" spans="1:5" x14ac:dyDescent="0.2">
      <c r="A146" s="50"/>
      <c r="B146" s="50"/>
      <c r="C146" s="50"/>
      <c r="D146" s="50"/>
      <c r="E146" s="50"/>
    </row>
    <row r="147" spans="1:5" x14ac:dyDescent="0.2">
      <c r="A147" s="50"/>
      <c r="B147" s="50"/>
      <c r="C147" s="50"/>
      <c r="D147" s="50"/>
      <c r="E147" s="50"/>
    </row>
    <row r="148" spans="1:5" x14ac:dyDescent="0.2">
      <c r="A148" s="50"/>
      <c r="B148" s="50"/>
      <c r="C148" s="50"/>
      <c r="D148" s="50"/>
      <c r="E148" s="50"/>
    </row>
    <row r="149" spans="1:5" x14ac:dyDescent="0.2">
      <c r="A149" s="50"/>
      <c r="B149" s="50"/>
      <c r="C149" s="50"/>
      <c r="D149" s="50"/>
      <c r="E149" s="50"/>
    </row>
    <row r="150" spans="1:5" x14ac:dyDescent="0.2">
      <c r="A150" s="50"/>
      <c r="B150" s="50"/>
      <c r="C150" s="50"/>
      <c r="D150" s="50"/>
      <c r="E150" s="50"/>
    </row>
    <row r="151" spans="1:5" x14ac:dyDescent="0.2">
      <c r="A151" s="50"/>
      <c r="B151" s="50"/>
      <c r="C151" s="50"/>
      <c r="D151" s="50"/>
      <c r="E151" s="50"/>
    </row>
    <row r="152" spans="1:5" x14ac:dyDescent="0.2">
      <c r="A152" s="50"/>
      <c r="B152" s="50"/>
      <c r="C152" s="50"/>
      <c r="D152" s="50"/>
      <c r="E152" s="50"/>
    </row>
    <row r="153" spans="1:5" x14ac:dyDescent="0.2">
      <c r="A153" s="50"/>
      <c r="B153" s="50"/>
      <c r="C153" s="50"/>
      <c r="D153" s="50"/>
      <c r="E153" s="50"/>
    </row>
    <row r="154" spans="1:5" x14ac:dyDescent="0.2">
      <c r="A154" s="50"/>
      <c r="B154" s="50"/>
      <c r="C154" s="50"/>
      <c r="D154" s="50"/>
      <c r="E154" s="50"/>
    </row>
    <row r="155" spans="1:5" x14ac:dyDescent="0.2">
      <c r="A155" s="50"/>
      <c r="B155" s="50"/>
      <c r="C155" s="50"/>
      <c r="D155" s="50"/>
      <c r="E155" s="50"/>
    </row>
    <row r="156" spans="1:5" x14ac:dyDescent="0.2">
      <c r="A156" s="50"/>
      <c r="B156" s="50"/>
      <c r="C156" s="50"/>
      <c r="D156" s="50"/>
      <c r="E156" s="50"/>
    </row>
    <row r="157" spans="1:5" x14ac:dyDescent="0.2">
      <c r="A157" s="50"/>
      <c r="B157" s="50"/>
      <c r="C157" s="50"/>
      <c r="D157" s="50"/>
      <c r="E157" s="50"/>
    </row>
    <row r="158" spans="1:5" x14ac:dyDescent="0.2">
      <c r="A158" s="50"/>
      <c r="B158" s="50"/>
      <c r="C158" s="50"/>
      <c r="D158" s="50"/>
      <c r="E158" s="50"/>
    </row>
    <row r="159" spans="1:5" x14ac:dyDescent="0.2">
      <c r="A159" s="50"/>
      <c r="B159" s="50"/>
      <c r="C159" s="50"/>
      <c r="D159" s="50"/>
      <c r="E159" s="50"/>
    </row>
    <row r="160" spans="1:5" x14ac:dyDescent="0.2">
      <c r="A160" s="50"/>
      <c r="B160" s="50"/>
      <c r="C160" s="50"/>
      <c r="D160" s="50"/>
      <c r="E160" s="50"/>
    </row>
    <row r="161" spans="1:5" x14ac:dyDescent="0.2">
      <c r="A161" s="50"/>
      <c r="B161" s="50"/>
      <c r="C161" s="50"/>
      <c r="D161" s="50"/>
      <c r="E161" s="50"/>
    </row>
    <row r="162" spans="1:5" x14ac:dyDescent="0.2">
      <c r="A162" s="50"/>
      <c r="B162" s="50"/>
      <c r="C162" s="50"/>
      <c r="D162" s="50"/>
      <c r="E162" s="50"/>
    </row>
    <row r="163" spans="1:5" x14ac:dyDescent="0.2">
      <c r="A163" s="50"/>
      <c r="B163" s="50"/>
      <c r="C163" s="50"/>
      <c r="D163" s="50"/>
      <c r="E163" s="50"/>
    </row>
    <row r="164" spans="1:5" x14ac:dyDescent="0.2">
      <c r="A164" s="50"/>
      <c r="B164" s="50"/>
      <c r="C164" s="50"/>
      <c r="D164" s="50"/>
      <c r="E164" s="50"/>
    </row>
    <row r="165" spans="1:5" x14ac:dyDescent="0.2">
      <c r="A165" s="50"/>
      <c r="B165" s="50"/>
      <c r="C165" s="50"/>
      <c r="D165" s="50"/>
      <c r="E165" s="50"/>
    </row>
    <row r="166" spans="1:5" x14ac:dyDescent="0.2">
      <c r="A166" s="50"/>
      <c r="B166" s="50"/>
      <c r="C166" s="50"/>
      <c r="D166" s="50"/>
      <c r="E166" s="50"/>
    </row>
    <row r="167" spans="1:5" x14ac:dyDescent="0.2">
      <c r="A167" s="50"/>
      <c r="B167" s="50"/>
      <c r="C167" s="50"/>
      <c r="D167" s="50"/>
      <c r="E167" s="50"/>
    </row>
    <row r="168" spans="1:5" x14ac:dyDescent="0.2">
      <c r="A168" s="50"/>
      <c r="B168" s="50"/>
      <c r="C168" s="50"/>
      <c r="D168" s="50"/>
      <c r="E168" s="50"/>
    </row>
    <row r="169" spans="1:5" x14ac:dyDescent="0.2">
      <c r="A169" s="50"/>
      <c r="B169" s="50"/>
      <c r="C169" s="50"/>
      <c r="D169" s="50"/>
      <c r="E169" s="50"/>
    </row>
    <row r="170" spans="1:5" x14ac:dyDescent="0.2">
      <c r="A170" s="50"/>
      <c r="B170" s="50"/>
      <c r="C170" s="50"/>
      <c r="D170" s="50"/>
      <c r="E170" s="50"/>
    </row>
    <row r="171" spans="1:5" x14ac:dyDescent="0.2">
      <c r="A171" s="50"/>
      <c r="B171" s="50"/>
      <c r="C171" s="50"/>
      <c r="D171" s="50"/>
      <c r="E171" s="50"/>
    </row>
    <row r="172" spans="1:5" x14ac:dyDescent="0.2">
      <c r="A172" s="50"/>
      <c r="B172" s="50"/>
      <c r="C172" s="50"/>
      <c r="D172" s="50"/>
      <c r="E172" s="50"/>
    </row>
    <row r="173" spans="1:5" x14ac:dyDescent="0.2">
      <c r="A173" s="50"/>
      <c r="B173" s="50"/>
      <c r="C173" s="50"/>
      <c r="D173" s="50"/>
      <c r="E173" s="50"/>
    </row>
    <row r="174" spans="1:5" x14ac:dyDescent="0.2">
      <c r="A174" s="50"/>
      <c r="B174" s="50"/>
      <c r="C174" s="50"/>
      <c r="D174" s="50"/>
      <c r="E174" s="50"/>
    </row>
    <row r="175" spans="1:5" x14ac:dyDescent="0.2">
      <c r="A175" s="50"/>
      <c r="B175" s="50"/>
      <c r="C175" s="50"/>
      <c r="D175" s="50"/>
      <c r="E175" s="50"/>
    </row>
    <row r="176" spans="1:5" x14ac:dyDescent="0.2">
      <c r="A176" s="50"/>
      <c r="B176" s="50"/>
      <c r="C176" s="50"/>
      <c r="D176" s="50"/>
      <c r="E176" s="50"/>
    </row>
    <row r="177" spans="1:5" x14ac:dyDescent="0.2">
      <c r="A177" s="50"/>
      <c r="B177" s="50"/>
      <c r="C177" s="50"/>
      <c r="D177" s="50"/>
      <c r="E177" s="50"/>
    </row>
    <row r="178" spans="1:5" x14ac:dyDescent="0.2">
      <c r="A178" s="50"/>
      <c r="B178" s="50"/>
      <c r="C178" s="50"/>
      <c r="D178" s="50"/>
      <c r="E178" s="50"/>
    </row>
    <row r="179" spans="1:5" x14ac:dyDescent="0.2">
      <c r="A179" s="50"/>
      <c r="B179" s="50"/>
      <c r="C179" s="50"/>
      <c r="D179" s="50"/>
      <c r="E179" s="50"/>
    </row>
    <row r="180" spans="1:5" x14ac:dyDescent="0.2">
      <c r="A180" s="50"/>
      <c r="B180" s="50"/>
      <c r="C180" s="50"/>
      <c r="D180" s="50"/>
      <c r="E180" s="50"/>
    </row>
    <row r="181" spans="1:5" x14ac:dyDescent="0.2">
      <c r="A181" s="50"/>
      <c r="B181" s="50"/>
      <c r="C181" s="50"/>
      <c r="D181" s="50"/>
      <c r="E181" s="50"/>
    </row>
    <row r="182" spans="1:5" x14ac:dyDescent="0.2">
      <c r="A182" s="50"/>
      <c r="B182" s="50"/>
      <c r="C182" s="50"/>
      <c r="D182" s="50"/>
      <c r="E182" s="50"/>
    </row>
    <row r="183" spans="1:5" x14ac:dyDescent="0.2">
      <c r="A183" s="50"/>
      <c r="B183" s="50"/>
      <c r="C183" s="50"/>
      <c r="D183" s="50"/>
      <c r="E183" s="50"/>
    </row>
    <row r="184" spans="1:5" x14ac:dyDescent="0.2">
      <c r="A184" s="50"/>
      <c r="B184" s="50"/>
      <c r="C184" s="50"/>
      <c r="D184" s="50"/>
      <c r="E184" s="50"/>
    </row>
    <row r="185" spans="1:5" x14ac:dyDescent="0.2">
      <c r="A185" s="50"/>
      <c r="B185" s="50"/>
      <c r="C185" s="50"/>
      <c r="D185" s="50"/>
      <c r="E185" s="50"/>
    </row>
    <row r="186" spans="1:5" x14ac:dyDescent="0.2">
      <c r="A186" s="50"/>
      <c r="B186" s="50"/>
      <c r="C186" s="50"/>
      <c r="D186" s="50"/>
      <c r="E186" s="50"/>
    </row>
    <row r="187" spans="1:5" x14ac:dyDescent="0.2">
      <c r="A187" s="50"/>
      <c r="B187" s="50"/>
      <c r="C187" s="50"/>
      <c r="D187" s="50"/>
      <c r="E187" s="50"/>
    </row>
    <row r="188" spans="1:5" x14ac:dyDescent="0.2">
      <c r="A188" s="50"/>
      <c r="B188" s="50"/>
      <c r="C188" s="50"/>
      <c r="D188" s="50"/>
      <c r="E188" s="50"/>
    </row>
    <row r="189" spans="1:5" x14ac:dyDescent="0.2">
      <c r="A189" s="50"/>
      <c r="B189" s="50"/>
      <c r="C189" s="50"/>
      <c r="D189" s="50"/>
      <c r="E189" s="50"/>
    </row>
    <row r="190" spans="1:5" x14ac:dyDescent="0.2">
      <c r="A190" s="50"/>
      <c r="B190" s="50"/>
      <c r="C190" s="50"/>
      <c r="D190" s="50"/>
      <c r="E190" s="50"/>
    </row>
    <row r="191" spans="1:5" x14ac:dyDescent="0.2">
      <c r="A191" s="50"/>
      <c r="B191" s="50"/>
      <c r="C191" s="50"/>
      <c r="D191" s="50"/>
      <c r="E191" s="50"/>
    </row>
    <row r="192" spans="1:5" x14ac:dyDescent="0.2">
      <c r="A192" s="50"/>
      <c r="B192" s="50"/>
      <c r="C192" s="50"/>
      <c r="D192" s="50"/>
      <c r="E192" s="50"/>
    </row>
    <row r="193" spans="1:5" x14ac:dyDescent="0.2">
      <c r="A193" s="50"/>
      <c r="B193" s="50"/>
      <c r="C193" s="50"/>
      <c r="D193" s="50"/>
      <c r="E193" s="50"/>
    </row>
    <row r="194" spans="1:5" x14ac:dyDescent="0.2">
      <c r="A194" s="50"/>
      <c r="B194" s="50"/>
      <c r="C194" s="50"/>
      <c r="D194" s="50"/>
      <c r="E194" s="50"/>
    </row>
    <row r="195" spans="1:5" ht="12" customHeight="1" x14ac:dyDescent="0.2">
      <c r="A195" s="50"/>
      <c r="B195" s="50"/>
      <c r="C195" s="50"/>
      <c r="D195" s="50"/>
      <c r="E195" s="50"/>
    </row>
    <row r="196" spans="1:5" hidden="1" x14ac:dyDescent="0.2">
      <c r="A196" s="50"/>
      <c r="B196" s="50"/>
      <c r="C196" s="50"/>
      <c r="D196" s="50"/>
      <c r="E196" s="50"/>
    </row>
    <row r="197" spans="1:5" x14ac:dyDescent="0.2">
      <c r="A197" s="50"/>
      <c r="B197" s="50"/>
      <c r="C197" s="50"/>
      <c r="D197" s="50"/>
      <c r="E197" s="50"/>
    </row>
    <row r="198" spans="1:5" x14ac:dyDescent="0.2">
      <c r="A198" s="50"/>
      <c r="B198" s="50"/>
      <c r="C198" s="50"/>
      <c r="D198" s="50"/>
      <c r="E198" s="50"/>
    </row>
    <row r="199" spans="1:5" x14ac:dyDescent="0.2">
      <c r="A199" s="50"/>
      <c r="B199" s="50"/>
      <c r="C199" s="50"/>
      <c r="D199" s="50"/>
      <c r="E199" s="50"/>
    </row>
    <row r="200" spans="1:5" x14ac:dyDescent="0.2">
      <c r="A200" s="50"/>
      <c r="B200" s="50"/>
      <c r="C200" s="50"/>
      <c r="D200" s="50"/>
      <c r="E200" s="50"/>
    </row>
    <row r="201" spans="1:5" x14ac:dyDescent="0.2">
      <c r="A201" s="50"/>
      <c r="B201" s="50"/>
      <c r="C201" s="50"/>
      <c r="D201" s="50"/>
      <c r="E201" s="50"/>
    </row>
    <row r="202" spans="1:5" x14ac:dyDescent="0.2">
      <c r="A202" s="50"/>
      <c r="B202" s="50"/>
      <c r="C202" s="50"/>
      <c r="D202" s="50"/>
      <c r="E202" s="50"/>
    </row>
    <row r="203" spans="1:5" x14ac:dyDescent="0.2">
      <c r="A203" s="50"/>
      <c r="B203" s="50"/>
      <c r="C203" s="50"/>
      <c r="D203" s="50"/>
      <c r="E203" s="50"/>
    </row>
    <row r="204" spans="1:5" x14ac:dyDescent="0.2">
      <c r="A204" s="50"/>
      <c r="B204" s="50"/>
      <c r="C204" s="50"/>
      <c r="D204" s="50"/>
      <c r="E204" s="50"/>
    </row>
    <row r="205" spans="1:5" x14ac:dyDescent="0.2">
      <c r="A205" s="50"/>
      <c r="B205" s="50"/>
      <c r="C205" s="50"/>
      <c r="D205" s="50"/>
      <c r="E205" s="50"/>
    </row>
    <row r="206" spans="1:5" x14ac:dyDescent="0.2">
      <c r="A206" s="50"/>
      <c r="B206" s="50"/>
      <c r="C206" s="50"/>
      <c r="D206" s="50"/>
      <c r="E206" s="50"/>
    </row>
    <row r="207" spans="1:5" x14ac:dyDescent="0.2">
      <c r="A207" s="50"/>
      <c r="B207" s="50"/>
      <c r="C207" s="50"/>
      <c r="D207" s="50"/>
      <c r="E207" s="50"/>
    </row>
    <row r="208" spans="1:5" x14ac:dyDescent="0.2">
      <c r="A208" s="50"/>
      <c r="B208" s="50"/>
      <c r="C208" s="50"/>
      <c r="D208" s="50"/>
      <c r="E208" s="50"/>
    </row>
    <row r="209" spans="1:70" x14ac:dyDescent="0.2">
      <c r="A209" s="50"/>
      <c r="B209" s="50"/>
      <c r="C209" s="50"/>
      <c r="D209" s="50"/>
      <c r="E209" s="50"/>
    </row>
    <row r="210" spans="1:70" x14ac:dyDescent="0.2">
      <c r="A210" s="50"/>
      <c r="B210" s="50"/>
      <c r="C210" s="50"/>
      <c r="D210" s="50"/>
      <c r="E210" s="50"/>
    </row>
    <row r="211" spans="1:70" x14ac:dyDescent="0.2">
      <c r="A211" s="50"/>
      <c r="B211" s="50"/>
      <c r="C211" s="50"/>
      <c r="D211" s="50"/>
      <c r="E211" s="50"/>
    </row>
    <row r="212" spans="1:70" x14ac:dyDescent="0.2">
      <c r="A212" s="50"/>
      <c r="B212" s="50"/>
      <c r="C212" s="50"/>
      <c r="D212" s="50"/>
      <c r="E212" s="50"/>
    </row>
    <row r="213" spans="1:70" x14ac:dyDescent="0.2">
      <c r="A213" s="50"/>
      <c r="B213" s="50"/>
      <c r="C213" s="50"/>
      <c r="D213" s="50"/>
      <c r="E213" s="50"/>
    </row>
    <row r="214" spans="1:70" x14ac:dyDescent="0.2">
      <c r="A214" s="50"/>
      <c r="B214" s="50"/>
      <c r="C214" s="50"/>
      <c r="D214" s="50"/>
      <c r="E214" s="50"/>
    </row>
    <row r="215" spans="1:70" x14ac:dyDescent="0.2">
      <c r="A215" s="50"/>
      <c r="B215" s="50"/>
      <c r="C215" s="50"/>
      <c r="D215" s="50"/>
      <c r="E215" s="50"/>
    </row>
    <row r="216" spans="1:70" x14ac:dyDescent="0.2">
      <c r="A216" s="50"/>
      <c r="B216" s="50"/>
      <c r="C216" s="50"/>
      <c r="D216" s="50"/>
      <c r="E216" s="50"/>
    </row>
    <row r="217" spans="1:70" x14ac:dyDescent="0.2">
      <c r="A217" s="50"/>
      <c r="B217" s="50"/>
      <c r="C217" s="50"/>
      <c r="D217" s="50"/>
      <c r="E217" s="50"/>
    </row>
    <row r="218" spans="1:70" x14ac:dyDescent="0.2">
      <c r="A218" s="50"/>
      <c r="B218" s="50"/>
      <c r="C218" s="50"/>
      <c r="D218" s="50"/>
      <c r="E218" s="50"/>
    </row>
    <row r="219" spans="1:70" x14ac:dyDescent="0.2">
      <c r="A219" s="50"/>
      <c r="B219" s="50"/>
      <c r="C219" s="50"/>
      <c r="D219" s="50"/>
      <c r="E219" s="50"/>
    </row>
    <row r="220" spans="1:70" x14ac:dyDescent="0.2">
      <c r="A220" s="50"/>
      <c r="B220" s="50"/>
      <c r="C220" s="50"/>
      <c r="D220" s="50"/>
      <c r="E220" s="50"/>
    </row>
    <row r="221" spans="1:70" x14ac:dyDescent="0.2">
      <c r="S221" s="5"/>
      <c r="T221" s="5"/>
      <c r="V221" s="5"/>
      <c r="W221" s="5"/>
      <c r="X221" s="5"/>
      <c r="Y221" s="5"/>
      <c r="Z221" s="5"/>
      <c r="AC221" s="5"/>
      <c r="AD221" s="5"/>
      <c r="AE221" s="5"/>
      <c r="AF221" s="5"/>
      <c r="AG221" s="5"/>
      <c r="AH221" s="5"/>
      <c r="AI221" s="5"/>
      <c r="AJ221" s="5"/>
      <c r="AK221" s="5"/>
      <c r="AM221" s="5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5"/>
      <c r="BK221" s="5"/>
      <c r="BL221" s="5"/>
      <c r="BM221" s="45"/>
      <c r="BN221" s="45"/>
      <c r="BO221" s="45"/>
      <c r="BP221" s="45"/>
      <c r="BQ221" s="45"/>
      <c r="BR221" s="45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 altText="This drop down permits the user to select one of several highlights">
                <anchor>
                  <from>
                    <xdr:col>14</xdr:col>
                    <xdr:colOff>247650</xdr:colOff>
                    <xdr:row>6</xdr:row>
                    <xdr:rowOff>123825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 altText="This drop down permits the user to make a selection of highlights from Treasury's 2020 FEVS">
                <anchor>
                  <from>
                    <xdr:col>14</xdr:col>
                    <xdr:colOff>257175</xdr:colOff>
                    <xdr:row>22</xdr:row>
                    <xdr:rowOff>66675</xdr:rowOff>
                  </from>
                  <to>
                    <xdr:col>17</xdr:col>
                    <xdr:colOff>9525</xdr:colOff>
                    <xdr:row>23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77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4" t="s">
        <v>238</v>
      </c>
      <c r="B1" s="165"/>
      <c r="C1" s="165"/>
    </row>
    <row r="2" spans="1:3" ht="13.9" customHeight="1" x14ac:dyDescent="0.2">
      <c r="A2" s="165"/>
      <c r="B2" s="165"/>
      <c r="C2" s="165"/>
    </row>
    <row r="3" spans="1:3" ht="48" customHeight="1" x14ac:dyDescent="0.25">
      <c r="A3" s="214" t="s">
        <v>257</v>
      </c>
      <c r="B3" s="214"/>
      <c r="C3" s="214"/>
    </row>
    <row r="4" spans="1:3" ht="16.899999999999999" customHeight="1" x14ac:dyDescent="0.2">
      <c r="A4" s="165"/>
      <c r="B4" s="216">
        <v>2020</v>
      </c>
      <c r="C4" s="216"/>
    </row>
    <row r="5" spans="1:3" ht="16.899999999999999" customHeight="1" x14ac:dyDescent="0.25">
      <c r="A5" s="165"/>
      <c r="B5" s="166" t="s">
        <v>174</v>
      </c>
      <c r="C5" s="167" t="s">
        <v>175</v>
      </c>
    </row>
    <row r="6" spans="1:3" ht="16.899999999999999" customHeight="1" x14ac:dyDescent="0.25">
      <c r="A6" s="148" t="s">
        <v>258</v>
      </c>
      <c r="B6" s="155">
        <v>20169</v>
      </c>
      <c r="C6" s="168">
        <v>0.51069321999999995</v>
      </c>
    </row>
    <row r="7" spans="1:3" ht="16.899999999999999" customHeight="1" x14ac:dyDescent="0.25">
      <c r="A7" s="148" t="s">
        <v>259</v>
      </c>
      <c r="B7" s="155">
        <v>12937</v>
      </c>
      <c r="C7" s="168">
        <v>0.34501894</v>
      </c>
    </row>
    <row r="8" spans="1:3" ht="16.899999999999999" customHeight="1" x14ac:dyDescent="0.25">
      <c r="A8" s="148" t="s">
        <v>260</v>
      </c>
      <c r="B8" s="155">
        <v>2917</v>
      </c>
      <c r="C8" s="168">
        <v>8.1265000000000004E-2</v>
      </c>
    </row>
    <row r="9" spans="1:3" ht="16.899999999999999" customHeight="1" x14ac:dyDescent="0.25">
      <c r="A9" s="148" t="s">
        <v>261</v>
      </c>
      <c r="B9" s="155">
        <v>1213</v>
      </c>
      <c r="C9" s="168">
        <v>3.341918E-2</v>
      </c>
    </row>
    <row r="10" spans="1:3" ht="16.899999999999999" customHeight="1" x14ac:dyDescent="0.25">
      <c r="A10" s="148" t="s">
        <v>262</v>
      </c>
      <c r="B10" s="155">
        <v>1036</v>
      </c>
      <c r="C10" s="168">
        <v>2.9603640000000001E-2</v>
      </c>
    </row>
    <row r="11" spans="1:3" ht="16.899999999999999" customHeight="1" x14ac:dyDescent="0.25">
      <c r="A11" s="169" t="s">
        <v>263</v>
      </c>
      <c r="B11" s="170">
        <v>876</v>
      </c>
      <c r="C11" s="177" t="s">
        <v>184</v>
      </c>
    </row>
    <row r="12" spans="1:3" ht="16.899999999999999" customHeight="1" x14ac:dyDescent="0.25">
      <c r="A12" s="172" t="s">
        <v>185</v>
      </c>
      <c r="B12" s="159">
        <v>39148</v>
      </c>
      <c r="C12" s="173">
        <v>1</v>
      </c>
    </row>
    <row r="14" spans="1:3" ht="13.9" customHeight="1" x14ac:dyDescent="0.2">
      <c r="A14" s="165"/>
      <c r="B14" s="165"/>
      <c r="C14" s="165"/>
    </row>
    <row r="15" spans="1:3" ht="48" customHeight="1" x14ac:dyDescent="0.25">
      <c r="A15" s="214" t="s">
        <v>264</v>
      </c>
      <c r="B15" s="214"/>
      <c r="C15" s="214"/>
    </row>
    <row r="16" spans="1:3" ht="16.899999999999999" customHeight="1" x14ac:dyDescent="0.2">
      <c r="A16" s="165"/>
      <c r="B16" s="216">
        <v>2020</v>
      </c>
      <c r="C16" s="216"/>
    </row>
    <row r="17" spans="1:3" ht="16.899999999999999" customHeight="1" x14ac:dyDescent="0.25">
      <c r="A17" s="165"/>
      <c r="B17" s="166" t="s">
        <v>174</v>
      </c>
      <c r="C17" s="167" t="s">
        <v>175</v>
      </c>
    </row>
    <row r="18" spans="1:3" ht="16.899999999999999" customHeight="1" x14ac:dyDescent="0.25">
      <c r="A18" s="148" t="s">
        <v>258</v>
      </c>
      <c r="B18" s="155">
        <v>20141</v>
      </c>
      <c r="C18" s="168">
        <v>0.51115507999999998</v>
      </c>
    </row>
    <row r="19" spans="1:3" ht="16.899999999999999" customHeight="1" x14ac:dyDescent="0.25">
      <c r="A19" s="148" t="s">
        <v>259</v>
      </c>
      <c r="B19" s="155">
        <v>13219</v>
      </c>
      <c r="C19" s="168">
        <v>0.35378525</v>
      </c>
    </row>
    <row r="20" spans="1:3" ht="16.899999999999999" customHeight="1" x14ac:dyDescent="0.25">
      <c r="A20" s="148" t="s">
        <v>260</v>
      </c>
      <c r="B20" s="155">
        <v>2824</v>
      </c>
      <c r="C20" s="168">
        <v>7.8491569999999997E-2</v>
      </c>
    </row>
    <row r="21" spans="1:3" ht="16.899999999999999" customHeight="1" x14ac:dyDescent="0.25">
      <c r="A21" s="148" t="s">
        <v>261</v>
      </c>
      <c r="B21" s="155">
        <v>1075</v>
      </c>
      <c r="C21" s="168">
        <v>2.9847080000000002E-2</v>
      </c>
    </row>
    <row r="22" spans="1:3" ht="16.899999999999999" customHeight="1" x14ac:dyDescent="0.25">
      <c r="A22" s="148" t="s">
        <v>262</v>
      </c>
      <c r="B22" s="155">
        <v>938</v>
      </c>
      <c r="C22" s="168">
        <v>2.6721020000000002E-2</v>
      </c>
    </row>
    <row r="23" spans="1:3" ht="16.899999999999999" customHeight="1" x14ac:dyDescent="0.25">
      <c r="A23" s="169" t="s">
        <v>263</v>
      </c>
      <c r="B23" s="170">
        <v>872</v>
      </c>
      <c r="C23" s="177" t="s">
        <v>184</v>
      </c>
    </row>
    <row r="24" spans="1:3" ht="16.899999999999999" customHeight="1" x14ac:dyDescent="0.25">
      <c r="A24" s="172" t="s">
        <v>185</v>
      </c>
      <c r="B24" s="159">
        <v>39069</v>
      </c>
      <c r="C24" s="173">
        <v>1</v>
      </c>
    </row>
    <row r="26" spans="1:3" ht="13.9" customHeight="1" x14ac:dyDescent="0.2">
      <c r="A26" s="165"/>
      <c r="B26" s="165"/>
      <c r="C26" s="165"/>
    </row>
    <row r="27" spans="1:3" ht="48" customHeight="1" x14ac:dyDescent="0.25">
      <c r="A27" s="214" t="s">
        <v>265</v>
      </c>
      <c r="B27" s="214"/>
      <c r="C27" s="214"/>
    </row>
    <row r="28" spans="1:3" ht="16.899999999999999" customHeight="1" x14ac:dyDescent="0.2">
      <c r="A28" s="165"/>
      <c r="B28" s="216">
        <v>2020</v>
      </c>
      <c r="C28" s="216"/>
    </row>
    <row r="29" spans="1:3" ht="16.899999999999999" customHeight="1" x14ac:dyDescent="0.25">
      <c r="A29" s="165"/>
      <c r="B29" s="166" t="s">
        <v>174</v>
      </c>
      <c r="C29" s="167" t="s">
        <v>175</v>
      </c>
    </row>
    <row r="30" spans="1:3" ht="16.899999999999999" customHeight="1" x14ac:dyDescent="0.25">
      <c r="A30" s="148" t="s">
        <v>258</v>
      </c>
      <c r="B30" s="155">
        <v>18898</v>
      </c>
      <c r="C30" s="168">
        <v>0.47611092999999999</v>
      </c>
    </row>
    <row r="31" spans="1:3" ht="16.899999999999999" customHeight="1" x14ac:dyDescent="0.25">
      <c r="A31" s="148" t="s">
        <v>259</v>
      </c>
      <c r="B31" s="155">
        <v>13129</v>
      </c>
      <c r="C31" s="168">
        <v>0.34698626999999999</v>
      </c>
    </row>
    <row r="32" spans="1:3" ht="16.899999999999999" customHeight="1" x14ac:dyDescent="0.25">
      <c r="A32" s="148" t="s">
        <v>260</v>
      </c>
      <c r="B32" s="155">
        <v>3446</v>
      </c>
      <c r="C32" s="168">
        <v>9.3461440000000007E-2</v>
      </c>
    </row>
    <row r="33" spans="1:3" ht="16.899999999999999" customHeight="1" x14ac:dyDescent="0.25">
      <c r="A33" s="148" t="s">
        <v>261</v>
      </c>
      <c r="B33" s="155">
        <v>1769</v>
      </c>
      <c r="C33" s="168">
        <v>4.8180170000000001E-2</v>
      </c>
    </row>
    <row r="34" spans="1:3" ht="16.899999999999999" customHeight="1" x14ac:dyDescent="0.25">
      <c r="A34" s="148" t="s">
        <v>262</v>
      </c>
      <c r="B34" s="155">
        <v>1261</v>
      </c>
      <c r="C34" s="168">
        <v>3.5261189999999998E-2</v>
      </c>
    </row>
    <row r="35" spans="1:3" ht="16.899999999999999" customHeight="1" x14ac:dyDescent="0.25">
      <c r="A35" s="169" t="s">
        <v>263</v>
      </c>
      <c r="B35" s="170">
        <v>491</v>
      </c>
      <c r="C35" s="177" t="s">
        <v>184</v>
      </c>
    </row>
    <row r="36" spans="1:3" ht="16.899999999999999" customHeight="1" x14ac:dyDescent="0.25">
      <c r="A36" s="172" t="s">
        <v>185</v>
      </c>
      <c r="B36" s="159">
        <v>38994</v>
      </c>
      <c r="C36" s="173">
        <v>1</v>
      </c>
    </row>
    <row r="38" spans="1:3" ht="13.9" customHeight="1" x14ac:dyDescent="0.2">
      <c r="A38" s="165"/>
      <c r="B38" s="165"/>
      <c r="C38" s="165"/>
    </row>
    <row r="39" spans="1:3" ht="48" customHeight="1" x14ac:dyDescent="0.25">
      <c r="A39" s="214" t="s">
        <v>266</v>
      </c>
      <c r="B39" s="214"/>
      <c r="C39" s="214"/>
    </row>
    <row r="40" spans="1:3" ht="16.899999999999999" customHeight="1" x14ac:dyDescent="0.2">
      <c r="A40" s="165"/>
      <c r="B40" s="216">
        <v>2020</v>
      </c>
      <c r="C40" s="216"/>
    </row>
    <row r="41" spans="1:3" ht="16.899999999999999" customHeight="1" x14ac:dyDescent="0.25">
      <c r="A41" s="165"/>
      <c r="B41" s="166" t="s">
        <v>174</v>
      </c>
      <c r="C41" s="167" t="s">
        <v>175</v>
      </c>
    </row>
    <row r="42" spans="1:3" ht="16.899999999999999" customHeight="1" x14ac:dyDescent="0.25">
      <c r="A42" s="148" t="s">
        <v>258</v>
      </c>
      <c r="B42" s="155">
        <v>23199</v>
      </c>
      <c r="C42" s="168">
        <v>0.58831601</v>
      </c>
    </row>
    <row r="43" spans="1:3" ht="16.899999999999999" customHeight="1" x14ac:dyDescent="0.25">
      <c r="A43" s="148" t="s">
        <v>259</v>
      </c>
      <c r="B43" s="155">
        <v>11094</v>
      </c>
      <c r="C43" s="168">
        <v>0.29464223</v>
      </c>
    </row>
    <row r="44" spans="1:3" ht="16.899999999999999" customHeight="1" x14ac:dyDescent="0.25">
      <c r="A44" s="148" t="s">
        <v>260</v>
      </c>
      <c r="B44" s="155">
        <v>2541</v>
      </c>
      <c r="C44" s="168">
        <v>6.9378910000000002E-2</v>
      </c>
    </row>
    <row r="45" spans="1:3" ht="16.899999999999999" customHeight="1" x14ac:dyDescent="0.25">
      <c r="A45" s="148" t="s">
        <v>261</v>
      </c>
      <c r="B45" s="155">
        <v>896</v>
      </c>
      <c r="C45" s="168">
        <v>2.47402E-2</v>
      </c>
    </row>
    <row r="46" spans="1:3" ht="16.899999999999999" customHeight="1" x14ac:dyDescent="0.25">
      <c r="A46" s="148" t="s">
        <v>262</v>
      </c>
      <c r="B46" s="155">
        <v>805</v>
      </c>
      <c r="C46" s="168">
        <v>2.2922649999999999E-2</v>
      </c>
    </row>
    <row r="47" spans="1:3" ht="16.899999999999999" customHeight="1" x14ac:dyDescent="0.25">
      <c r="A47" s="169" t="s">
        <v>263</v>
      </c>
      <c r="B47" s="170">
        <v>601</v>
      </c>
      <c r="C47" s="177" t="s">
        <v>184</v>
      </c>
    </row>
    <row r="48" spans="1:3" ht="16.899999999999999" customHeight="1" x14ac:dyDescent="0.25">
      <c r="A48" s="172" t="s">
        <v>185</v>
      </c>
      <c r="B48" s="159">
        <v>39136</v>
      </c>
      <c r="C48" s="173">
        <v>1</v>
      </c>
    </row>
    <row r="50" spans="1:3" ht="13.9" customHeight="1" x14ac:dyDescent="0.2">
      <c r="A50" s="165"/>
      <c r="B50" s="165"/>
      <c r="C50" s="165"/>
    </row>
    <row r="51" spans="1:3" ht="48" customHeight="1" x14ac:dyDescent="0.25">
      <c r="A51" s="214" t="s">
        <v>267</v>
      </c>
      <c r="B51" s="214"/>
      <c r="C51" s="214"/>
    </row>
    <row r="52" spans="1:3" ht="16.899999999999999" customHeight="1" x14ac:dyDescent="0.2">
      <c r="A52" s="165"/>
      <c r="B52" s="216">
        <v>2020</v>
      </c>
      <c r="C52" s="216"/>
    </row>
    <row r="53" spans="1:3" ht="16.899999999999999" customHeight="1" x14ac:dyDescent="0.25">
      <c r="A53" s="165"/>
      <c r="B53" s="166" t="s">
        <v>174</v>
      </c>
      <c r="C53" s="167" t="s">
        <v>175</v>
      </c>
    </row>
    <row r="54" spans="1:3" ht="16.899999999999999" customHeight="1" x14ac:dyDescent="0.25">
      <c r="A54" s="148" t="s">
        <v>258</v>
      </c>
      <c r="B54" s="155">
        <v>23388</v>
      </c>
      <c r="C54" s="168">
        <v>0.59838241000000003</v>
      </c>
    </row>
    <row r="55" spans="1:3" ht="16.899999999999999" customHeight="1" x14ac:dyDescent="0.25">
      <c r="A55" s="148" t="s">
        <v>259</v>
      </c>
      <c r="B55" s="155">
        <v>10888</v>
      </c>
      <c r="C55" s="168">
        <v>0.29224225999999998</v>
      </c>
    </row>
    <row r="56" spans="1:3" ht="16.899999999999999" customHeight="1" x14ac:dyDescent="0.25">
      <c r="A56" s="148" t="s">
        <v>260</v>
      </c>
      <c r="B56" s="155">
        <v>2539</v>
      </c>
      <c r="C56" s="168">
        <v>7.0150699999999996E-2</v>
      </c>
    </row>
    <row r="57" spans="1:3" ht="16.899999999999999" customHeight="1" x14ac:dyDescent="0.25">
      <c r="A57" s="148" t="s">
        <v>261</v>
      </c>
      <c r="B57" s="155">
        <v>699</v>
      </c>
      <c r="C57" s="168">
        <v>1.9500960000000001E-2</v>
      </c>
    </row>
    <row r="58" spans="1:3" ht="16.899999999999999" customHeight="1" x14ac:dyDescent="0.25">
      <c r="A58" s="148" t="s">
        <v>262</v>
      </c>
      <c r="B58" s="155">
        <v>685</v>
      </c>
      <c r="C58" s="168">
        <v>1.9723669999999999E-2</v>
      </c>
    </row>
    <row r="59" spans="1:3" ht="16.899999999999999" customHeight="1" x14ac:dyDescent="0.25">
      <c r="A59" s="169" t="s">
        <v>263</v>
      </c>
      <c r="B59" s="170">
        <v>861</v>
      </c>
      <c r="C59" s="177" t="s">
        <v>184</v>
      </c>
    </row>
    <row r="60" spans="1:3" ht="16.899999999999999" customHeight="1" x14ac:dyDescent="0.25">
      <c r="A60" s="172" t="s">
        <v>185</v>
      </c>
      <c r="B60" s="159">
        <v>39060</v>
      </c>
      <c r="C60" s="173">
        <v>1</v>
      </c>
    </row>
    <row r="62" spans="1:3" ht="13.9" customHeight="1" x14ac:dyDescent="0.2">
      <c r="A62" s="165"/>
      <c r="B62" s="165"/>
      <c r="C62" s="165"/>
    </row>
    <row r="63" spans="1:3" ht="48" customHeight="1" x14ac:dyDescent="0.25">
      <c r="A63" s="214" t="s">
        <v>268</v>
      </c>
      <c r="B63" s="214"/>
      <c r="C63" s="214"/>
    </row>
    <row r="64" spans="1:3" ht="16.899999999999999" customHeight="1" x14ac:dyDescent="0.2">
      <c r="A64" s="165"/>
      <c r="B64" s="216">
        <v>2020</v>
      </c>
      <c r="C64" s="216"/>
    </row>
    <row r="65" spans="1:3" ht="16.899999999999999" customHeight="1" x14ac:dyDescent="0.25">
      <c r="A65" s="165"/>
      <c r="B65" s="166" t="s">
        <v>174</v>
      </c>
      <c r="C65" s="167" t="s">
        <v>175</v>
      </c>
    </row>
    <row r="66" spans="1:3" ht="16.899999999999999" customHeight="1" x14ac:dyDescent="0.25">
      <c r="A66" s="148" t="s">
        <v>258</v>
      </c>
      <c r="B66" s="155">
        <v>22043</v>
      </c>
      <c r="C66" s="168">
        <v>0.56788987000000002</v>
      </c>
    </row>
    <row r="67" spans="1:3" ht="16.899999999999999" customHeight="1" x14ac:dyDescent="0.25">
      <c r="A67" s="148" t="s">
        <v>259</v>
      </c>
      <c r="B67" s="155">
        <v>10209</v>
      </c>
      <c r="C67" s="168">
        <v>0.27484256000000001</v>
      </c>
    </row>
    <row r="68" spans="1:3" ht="16.899999999999999" customHeight="1" x14ac:dyDescent="0.25">
      <c r="A68" s="148" t="s">
        <v>260</v>
      </c>
      <c r="B68" s="155">
        <v>3571</v>
      </c>
      <c r="C68" s="168">
        <v>9.8797109999999994E-2</v>
      </c>
    </row>
    <row r="69" spans="1:3" ht="16.899999999999999" customHeight="1" x14ac:dyDescent="0.25">
      <c r="A69" s="148" t="s">
        <v>261</v>
      </c>
      <c r="B69" s="155">
        <v>1089</v>
      </c>
      <c r="C69" s="168">
        <v>3.0265070000000002E-2</v>
      </c>
    </row>
    <row r="70" spans="1:3" ht="16.899999999999999" customHeight="1" x14ac:dyDescent="0.25">
      <c r="A70" s="148" t="s">
        <v>262</v>
      </c>
      <c r="B70" s="155">
        <v>983</v>
      </c>
      <c r="C70" s="168">
        <v>2.8205399999999999E-2</v>
      </c>
    </row>
    <row r="71" spans="1:3" ht="16.899999999999999" customHeight="1" x14ac:dyDescent="0.25">
      <c r="A71" s="169" t="s">
        <v>263</v>
      </c>
      <c r="B71" s="170">
        <v>1159</v>
      </c>
      <c r="C71" s="177" t="s">
        <v>184</v>
      </c>
    </row>
    <row r="72" spans="1:3" ht="16.899999999999999" customHeight="1" x14ac:dyDescent="0.25">
      <c r="A72" s="172" t="s">
        <v>185</v>
      </c>
      <c r="B72" s="159">
        <v>39054</v>
      </c>
      <c r="C72" s="173">
        <v>1</v>
      </c>
    </row>
    <row r="74" spans="1:3" ht="13.9" customHeight="1" x14ac:dyDescent="0.2">
      <c r="A74" s="165"/>
      <c r="B74" s="165"/>
      <c r="C74" s="165"/>
    </row>
    <row r="75" spans="1:3" ht="16.149999999999999" customHeight="1" x14ac:dyDescent="0.2">
      <c r="A75" s="217" t="s">
        <v>217</v>
      </c>
      <c r="B75" s="217"/>
      <c r="C75" s="217"/>
    </row>
    <row r="76" spans="1:3" ht="16.149999999999999" customHeight="1" x14ac:dyDescent="0.2">
      <c r="A76" s="217" t="s">
        <v>269</v>
      </c>
      <c r="B76" s="217"/>
      <c r="C76" s="217"/>
    </row>
    <row r="77" spans="1:3" ht="16.149999999999999" customHeight="1" x14ac:dyDescent="0.2">
      <c r="A77" s="217" t="s">
        <v>218</v>
      </c>
      <c r="B77" s="217"/>
      <c r="C77" s="217"/>
    </row>
  </sheetData>
  <sheetProtection algorithmName="SHA-512" hashValue="AomIcEErH/4okHYRoqaLoIes5OKPosC7IUX1f+baBBRucaUEP4vN1VZmRqcpQZV+5KF3blFuIyVP2NWz/wyi8g==" saltValue="8+K93WLFn9DX+iq78mPHnw==" spinCount="100000" sheet="1" objects="1" scenarios="1"/>
  <mergeCells count="15">
    <mergeCell ref="A75:C75"/>
    <mergeCell ref="A76:C76"/>
    <mergeCell ref="A77:C77"/>
    <mergeCell ref="A39:C39"/>
    <mergeCell ref="B40:C40"/>
    <mergeCell ref="A51:C51"/>
    <mergeCell ref="B52:C52"/>
    <mergeCell ref="A63:C63"/>
    <mergeCell ref="B64:C64"/>
    <mergeCell ref="B28:C28"/>
    <mergeCell ref="A3:C3"/>
    <mergeCell ref="B4:C4"/>
    <mergeCell ref="A15:C15"/>
    <mergeCell ref="B16:C16"/>
    <mergeCell ref="A27:C27"/>
  </mergeCells>
  <pageMargins left="0.05" right="0.0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G22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7" width="14.7109375" style="134" bestFit="1" customWidth="1"/>
    <col min="8" max="16384" width="11.5703125" style="134"/>
  </cols>
  <sheetData>
    <row r="1" spans="1:7" ht="22.15" customHeight="1" x14ac:dyDescent="0.3">
      <c r="A1" s="164" t="s">
        <v>270</v>
      </c>
      <c r="B1" s="165"/>
      <c r="C1" s="165"/>
      <c r="D1" s="165"/>
      <c r="E1" s="165"/>
      <c r="F1" s="165"/>
      <c r="G1" s="165"/>
    </row>
    <row r="2" spans="1:7" ht="13.9" customHeight="1" x14ac:dyDescent="0.2">
      <c r="A2" s="165"/>
      <c r="B2" s="165"/>
      <c r="C2" s="165"/>
      <c r="D2" s="165"/>
      <c r="E2" s="165"/>
      <c r="F2" s="165"/>
      <c r="G2" s="165"/>
    </row>
    <row r="3" spans="1:7" ht="48" customHeight="1" x14ac:dyDescent="0.25">
      <c r="A3" s="214" t="s">
        <v>271</v>
      </c>
      <c r="B3" s="214"/>
      <c r="C3" s="214"/>
      <c r="D3" s="214"/>
      <c r="E3" s="214"/>
      <c r="F3" s="214"/>
      <c r="G3" s="214"/>
    </row>
    <row r="4" spans="1:7" ht="34.9" customHeight="1" x14ac:dyDescent="0.25">
      <c r="A4" s="165"/>
      <c r="B4" s="218" t="s">
        <v>240</v>
      </c>
      <c r="C4" s="218"/>
      <c r="D4" s="218" t="s">
        <v>241</v>
      </c>
      <c r="E4" s="218"/>
      <c r="F4" s="219" t="s">
        <v>242</v>
      </c>
      <c r="G4" s="219"/>
    </row>
    <row r="5" spans="1:7" ht="16.899999999999999" customHeight="1" x14ac:dyDescent="0.2">
      <c r="A5" s="165"/>
      <c r="B5" s="220">
        <v>2020</v>
      </c>
      <c r="C5" s="220"/>
      <c r="D5" s="220">
        <v>2020</v>
      </c>
      <c r="E5" s="220"/>
      <c r="F5" s="216">
        <v>2020</v>
      </c>
      <c r="G5" s="216"/>
    </row>
    <row r="6" spans="1:7" ht="16.899999999999999" customHeight="1" x14ac:dyDescent="0.25">
      <c r="A6" s="165"/>
      <c r="B6" s="166" t="s">
        <v>174</v>
      </c>
      <c r="C6" s="174" t="s">
        <v>175</v>
      </c>
      <c r="D6" s="166" t="s">
        <v>174</v>
      </c>
      <c r="E6" s="174" t="s">
        <v>175</v>
      </c>
      <c r="F6" s="166" t="s">
        <v>174</v>
      </c>
      <c r="G6" s="167" t="s">
        <v>175</v>
      </c>
    </row>
    <row r="7" spans="1:7" ht="31.9" customHeight="1" x14ac:dyDescent="0.25">
      <c r="A7" s="148" t="s">
        <v>272</v>
      </c>
      <c r="B7" s="155">
        <v>31204</v>
      </c>
      <c r="C7" s="175">
        <v>0.80664586000000005</v>
      </c>
      <c r="D7" s="155">
        <v>3739</v>
      </c>
      <c r="E7" s="175">
        <v>0.10184746</v>
      </c>
      <c r="F7" s="155">
        <v>3412</v>
      </c>
      <c r="G7" s="168">
        <v>9.1506680000000007E-2</v>
      </c>
    </row>
    <row r="8" spans="1:7" ht="34.9" customHeight="1" x14ac:dyDescent="0.25">
      <c r="A8" s="148" t="s">
        <v>273</v>
      </c>
      <c r="B8" s="155">
        <v>19210</v>
      </c>
      <c r="C8" s="175">
        <v>0.50426766999999995</v>
      </c>
      <c r="D8" s="155">
        <v>4375</v>
      </c>
      <c r="E8" s="175">
        <v>0.12014924</v>
      </c>
      <c r="F8" s="155">
        <v>14736</v>
      </c>
      <c r="G8" s="168">
        <v>0.37558309000000001</v>
      </c>
    </row>
    <row r="9" spans="1:7" ht="31.9" customHeight="1" x14ac:dyDescent="0.25">
      <c r="A9" s="148" t="s">
        <v>274</v>
      </c>
      <c r="B9" s="155">
        <v>14144</v>
      </c>
      <c r="C9" s="175">
        <v>0.37045959000000001</v>
      </c>
      <c r="D9" s="155">
        <v>5207</v>
      </c>
      <c r="E9" s="175">
        <v>0.14073142999999999</v>
      </c>
      <c r="F9" s="155">
        <v>19034</v>
      </c>
      <c r="G9" s="168">
        <v>0.48880899</v>
      </c>
    </row>
    <row r="10" spans="1:7" ht="34.9" customHeight="1" x14ac:dyDescent="0.25">
      <c r="A10" s="148" t="s">
        <v>275</v>
      </c>
      <c r="B10" s="155">
        <v>6006</v>
      </c>
      <c r="C10" s="175">
        <v>0.1574721</v>
      </c>
      <c r="D10" s="155">
        <v>1907</v>
      </c>
      <c r="E10" s="175">
        <v>5.260256E-2</v>
      </c>
      <c r="F10" s="155">
        <v>30650</v>
      </c>
      <c r="G10" s="168">
        <v>0.78992534999999997</v>
      </c>
    </row>
    <row r="11" spans="1:7" ht="16.899999999999999" customHeight="1" x14ac:dyDescent="0.25">
      <c r="A11" s="148" t="s">
        <v>276</v>
      </c>
      <c r="B11" s="155">
        <v>7189</v>
      </c>
      <c r="C11" s="175">
        <v>0.1891438</v>
      </c>
      <c r="D11" s="155">
        <v>1871</v>
      </c>
      <c r="E11" s="175">
        <v>5.198241E-2</v>
      </c>
      <c r="F11" s="155">
        <v>29165</v>
      </c>
      <c r="G11" s="168">
        <v>0.75887378999999999</v>
      </c>
    </row>
    <row r="12" spans="1:7" ht="34.9" customHeight="1" x14ac:dyDescent="0.25">
      <c r="A12" s="148" t="s">
        <v>277</v>
      </c>
      <c r="B12" s="155">
        <v>26548</v>
      </c>
      <c r="C12" s="175">
        <v>0.68386842000000003</v>
      </c>
      <c r="D12" s="155">
        <v>2131</v>
      </c>
      <c r="E12" s="175">
        <v>5.9212609999999999E-2</v>
      </c>
      <c r="F12" s="155">
        <v>9758</v>
      </c>
      <c r="G12" s="168">
        <v>0.25691898000000002</v>
      </c>
    </row>
    <row r="13" spans="1:7" ht="16.899999999999999" customHeight="1" x14ac:dyDescent="0.25">
      <c r="A13" s="148" t="s">
        <v>278</v>
      </c>
      <c r="B13" s="155">
        <v>16340</v>
      </c>
      <c r="C13" s="175">
        <v>0.42953520000000001</v>
      </c>
      <c r="D13" s="155">
        <v>2507</v>
      </c>
      <c r="E13" s="175">
        <v>6.8232689999999999E-2</v>
      </c>
      <c r="F13" s="155">
        <v>19616</v>
      </c>
      <c r="G13" s="168">
        <v>0.50223211000000001</v>
      </c>
    </row>
    <row r="14" spans="1:7" ht="31.9" customHeight="1" x14ac:dyDescent="0.25">
      <c r="A14" s="148" t="s">
        <v>279</v>
      </c>
      <c r="B14" s="155">
        <v>25540</v>
      </c>
      <c r="C14" s="175">
        <v>0.65882249999999998</v>
      </c>
      <c r="D14" s="155">
        <v>4024</v>
      </c>
      <c r="E14" s="175">
        <v>0.10523215</v>
      </c>
      <c r="F14" s="155">
        <v>9031</v>
      </c>
      <c r="G14" s="168">
        <v>0.23594535</v>
      </c>
    </row>
    <row r="15" spans="1:7" ht="34.9" customHeight="1" x14ac:dyDescent="0.25">
      <c r="A15" s="148" t="s">
        <v>280</v>
      </c>
      <c r="B15" s="155">
        <v>27549</v>
      </c>
      <c r="C15" s="175">
        <v>0.70733261000000003</v>
      </c>
      <c r="D15" s="155">
        <v>2981</v>
      </c>
      <c r="E15" s="175">
        <v>7.7837660000000003E-2</v>
      </c>
      <c r="F15" s="155">
        <v>8023</v>
      </c>
      <c r="G15" s="168">
        <v>0.21482973</v>
      </c>
    </row>
    <row r="16" spans="1:7" ht="16.899999999999999" customHeight="1" x14ac:dyDescent="0.25">
      <c r="A16" s="148" t="s">
        <v>281</v>
      </c>
      <c r="B16" s="155">
        <v>18701</v>
      </c>
      <c r="C16" s="175">
        <v>0.48771947999999998</v>
      </c>
      <c r="D16" s="155">
        <v>4613</v>
      </c>
      <c r="E16" s="175">
        <v>0.12293845</v>
      </c>
      <c r="F16" s="155">
        <v>15096</v>
      </c>
      <c r="G16" s="168">
        <v>0.38934206999999998</v>
      </c>
    </row>
    <row r="17" spans="1:7" ht="16.899999999999999" customHeight="1" x14ac:dyDescent="0.25">
      <c r="A17" s="148" t="s">
        <v>282</v>
      </c>
      <c r="B17" s="155">
        <v>19770</v>
      </c>
      <c r="C17" s="175">
        <v>0.51580879999999996</v>
      </c>
      <c r="D17" s="155">
        <v>5672</v>
      </c>
      <c r="E17" s="175">
        <v>0.14847506999999999</v>
      </c>
      <c r="F17" s="155">
        <v>13015</v>
      </c>
      <c r="G17" s="168">
        <v>0.33571613</v>
      </c>
    </row>
    <row r="18" spans="1:7" ht="16.899999999999999" customHeight="1" x14ac:dyDescent="0.25">
      <c r="A18" s="169" t="s">
        <v>283</v>
      </c>
      <c r="B18" s="170">
        <v>24870</v>
      </c>
      <c r="C18" s="176">
        <v>0.64831344000000002</v>
      </c>
      <c r="D18" s="170">
        <v>2169</v>
      </c>
      <c r="E18" s="176">
        <v>5.8858790000000001E-2</v>
      </c>
      <c r="F18" s="170">
        <v>11336</v>
      </c>
      <c r="G18" s="171">
        <v>0.29282776999999999</v>
      </c>
    </row>
    <row r="20" spans="1:7" ht="13.9" customHeight="1" x14ac:dyDescent="0.2">
      <c r="A20" s="165"/>
      <c r="B20" s="165"/>
      <c r="C20" s="165"/>
      <c r="D20" s="165"/>
      <c r="E20" s="165"/>
      <c r="F20" s="165"/>
      <c r="G20" s="165"/>
    </row>
    <row r="21" spans="1:7" ht="16.149999999999999" customHeight="1" x14ac:dyDescent="0.2">
      <c r="A21" s="217" t="s">
        <v>217</v>
      </c>
      <c r="B21" s="217"/>
      <c r="C21" s="217"/>
      <c r="D21" s="217"/>
      <c r="E21" s="217"/>
      <c r="F21" s="217"/>
      <c r="G21" s="217"/>
    </row>
    <row r="22" spans="1:7" ht="16.149999999999999" customHeight="1" x14ac:dyDescent="0.2">
      <c r="A22" s="217" t="s">
        <v>218</v>
      </c>
      <c r="B22" s="217"/>
      <c r="C22" s="217"/>
      <c r="D22" s="217"/>
      <c r="E22" s="217"/>
      <c r="F22" s="217"/>
      <c r="G22" s="217"/>
    </row>
  </sheetData>
  <sheetProtection algorithmName="SHA-512" hashValue="apCigcpMuLno4ubm2VHc/PpGO6tMEB5NUkb8t8dAv0HKcfUZov1P0FxY4U7jbqeNK7h9HnhFbLKoNlnI5cUWYQ==" saltValue="jmbTMG/gOUb0SsXoB7lXHw==" spinCount="100000" sheet="1" objects="1" scenarios="1"/>
  <mergeCells count="9">
    <mergeCell ref="A21:G21"/>
    <mergeCell ref="A22:G22"/>
    <mergeCell ref="A3:G3"/>
    <mergeCell ref="B4:C4"/>
    <mergeCell ref="D4:E4"/>
    <mergeCell ref="F4:G4"/>
    <mergeCell ref="B5:C5"/>
    <mergeCell ref="D5:E5"/>
    <mergeCell ref="F5:G5"/>
  </mergeCells>
  <pageMargins left="0.05" right="0.05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C13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4" t="s">
        <v>270</v>
      </c>
      <c r="B1" s="165"/>
      <c r="C1" s="165"/>
    </row>
    <row r="2" spans="1:3" ht="13.9" customHeight="1" x14ac:dyDescent="0.2">
      <c r="A2" s="165"/>
      <c r="B2" s="165"/>
      <c r="C2" s="165"/>
    </row>
    <row r="3" spans="1:3" ht="48" customHeight="1" x14ac:dyDescent="0.25">
      <c r="A3" s="214" t="s">
        <v>284</v>
      </c>
      <c r="B3" s="214"/>
      <c r="C3" s="214"/>
    </row>
    <row r="4" spans="1:3" ht="16.899999999999999" customHeight="1" x14ac:dyDescent="0.2">
      <c r="A4" s="165"/>
      <c r="B4" s="216">
        <v>2020</v>
      </c>
      <c r="C4" s="216"/>
    </row>
    <row r="5" spans="1:3" ht="16.899999999999999" customHeight="1" x14ac:dyDescent="0.25">
      <c r="A5" s="165"/>
      <c r="B5" s="166" t="s">
        <v>174</v>
      </c>
      <c r="C5" s="167" t="s">
        <v>175</v>
      </c>
    </row>
    <row r="6" spans="1:3" ht="16.899999999999999" customHeight="1" x14ac:dyDescent="0.25">
      <c r="A6" s="148" t="s">
        <v>285</v>
      </c>
      <c r="B6" s="155">
        <v>2625</v>
      </c>
      <c r="C6" s="168">
        <v>7.3212459999999993E-2</v>
      </c>
    </row>
    <row r="7" spans="1:3" ht="16.899999999999999" customHeight="1" x14ac:dyDescent="0.25">
      <c r="A7" s="148" t="s">
        <v>286</v>
      </c>
      <c r="B7" s="155">
        <v>33489</v>
      </c>
      <c r="C7" s="168">
        <v>0.87724844000000002</v>
      </c>
    </row>
    <row r="8" spans="1:3" ht="16.899999999999999" customHeight="1" x14ac:dyDescent="0.25">
      <c r="A8" s="169" t="s">
        <v>128</v>
      </c>
      <c r="B8" s="170">
        <v>1838</v>
      </c>
      <c r="C8" s="171">
        <v>4.9539100000000003E-2</v>
      </c>
    </row>
    <row r="9" spans="1:3" ht="16.899999999999999" customHeight="1" x14ac:dyDescent="0.25">
      <c r="A9" s="172" t="s">
        <v>185</v>
      </c>
      <c r="B9" s="159">
        <v>37952</v>
      </c>
      <c r="C9" s="173">
        <v>1</v>
      </c>
    </row>
    <row r="11" spans="1:3" ht="13.9" customHeight="1" x14ac:dyDescent="0.2">
      <c r="A11" s="165"/>
      <c r="B11" s="165"/>
      <c r="C11" s="165"/>
    </row>
    <row r="12" spans="1:3" ht="16.149999999999999" customHeight="1" x14ac:dyDescent="0.2">
      <c r="A12" s="217" t="s">
        <v>217</v>
      </c>
      <c r="B12" s="217"/>
      <c r="C12" s="217"/>
    </row>
    <row r="13" spans="1:3" ht="16.149999999999999" customHeight="1" x14ac:dyDescent="0.2">
      <c r="A13" s="217" t="s">
        <v>218</v>
      </c>
      <c r="B13" s="217"/>
      <c r="C13" s="217"/>
    </row>
  </sheetData>
  <sheetProtection algorithmName="SHA-512" hashValue="ZkYGvvOKJUSngOh/ZlMsycY1wRwvmV3ZWa1Jc9vaKLoenDPjiVtAcBctTWtQZLjAWTO70vF0vgsJxumMXrvpAg==" saltValue="WQayjzRiWQywTwZ05352wg==" spinCount="100000" sheet="1" objects="1" scenarios="1"/>
  <mergeCells count="4">
    <mergeCell ref="A3:C3"/>
    <mergeCell ref="B4:C4"/>
    <mergeCell ref="A12:C12"/>
    <mergeCell ref="A13:C13"/>
  </mergeCells>
  <pageMargins left="0.05" right="0.05" top="0.5" bottom="0.5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C53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4" t="s">
        <v>287</v>
      </c>
      <c r="B1" s="165"/>
      <c r="C1" s="165"/>
    </row>
    <row r="2" spans="1:3" ht="13.9" customHeight="1" x14ac:dyDescent="0.2">
      <c r="A2" s="165"/>
      <c r="B2" s="165"/>
      <c r="C2" s="165"/>
    </row>
    <row r="3" spans="1:3" ht="48" customHeight="1" x14ac:dyDescent="0.25">
      <c r="A3" s="214" t="s">
        <v>288</v>
      </c>
      <c r="B3" s="214"/>
      <c r="C3" s="214"/>
    </row>
    <row r="4" spans="1:3" ht="16.899999999999999" customHeight="1" x14ac:dyDescent="0.2">
      <c r="A4" s="165"/>
      <c r="B4" s="216">
        <v>2020</v>
      </c>
      <c r="C4" s="216"/>
    </row>
    <row r="5" spans="1:3" ht="16.899999999999999" customHeight="1" x14ac:dyDescent="0.25">
      <c r="A5" s="165"/>
      <c r="B5" s="166" t="s">
        <v>174</v>
      </c>
      <c r="C5" s="167" t="s">
        <v>175</v>
      </c>
    </row>
    <row r="6" spans="1:3" ht="16.899999999999999" customHeight="1" x14ac:dyDescent="0.25">
      <c r="A6" s="148" t="s">
        <v>289</v>
      </c>
      <c r="B6" s="155">
        <v>3041</v>
      </c>
      <c r="C6" s="168">
        <v>8.3917850000000002E-2</v>
      </c>
    </row>
    <row r="7" spans="1:3" ht="16.899999999999999" customHeight="1" x14ac:dyDescent="0.25">
      <c r="A7" s="148" t="s">
        <v>290</v>
      </c>
      <c r="B7" s="155">
        <v>4481</v>
      </c>
      <c r="C7" s="168">
        <v>0.12101975</v>
      </c>
    </row>
    <row r="8" spans="1:3" ht="16.899999999999999" customHeight="1" x14ac:dyDescent="0.25">
      <c r="A8" s="148" t="s">
        <v>291</v>
      </c>
      <c r="B8" s="155">
        <v>10725</v>
      </c>
      <c r="C8" s="168">
        <v>0.28109991000000001</v>
      </c>
    </row>
    <row r="9" spans="1:3" ht="16.899999999999999" customHeight="1" x14ac:dyDescent="0.25">
      <c r="A9" s="148" t="s">
        <v>292</v>
      </c>
      <c r="B9" s="155">
        <v>8680</v>
      </c>
      <c r="C9" s="168">
        <v>0.22147821000000001</v>
      </c>
    </row>
    <row r="10" spans="1:3" ht="16.899999999999999" customHeight="1" x14ac:dyDescent="0.25">
      <c r="A10" s="148" t="s">
        <v>293</v>
      </c>
      <c r="B10" s="155">
        <v>11514</v>
      </c>
      <c r="C10" s="168">
        <v>0.29248426999999999</v>
      </c>
    </row>
    <row r="11" spans="1:3" ht="16.899999999999999" customHeight="1" x14ac:dyDescent="0.25">
      <c r="A11" s="169" t="s">
        <v>263</v>
      </c>
      <c r="B11" s="170">
        <v>454</v>
      </c>
      <c r="C11" s="177" t="s">
        <v>184</v>
      </c>
    </row>
    <row r="12" spans="1:3" ht="16.899999999999999" customHeight="1" x14ac:dyDescent="0.25">
      <c r="A12" s="172" t="s">
        <v>185</v>
      </c>
      <c r="B12" s="159">
        <v>38895</v>
      </c>
      <c r="C12" s="173">
        <v>1</v>
      </c>
    </row>
    <row r="14" spans="1:3" ht="13.9" customHeight="1" x14ac:dyDescent="0.2">
      <c r="A14" s="165"/>
      <c r="B14" s="165"/>
      <c r="C14" s="165"/>
    </row>
    <row r="15" spans="1:3" ht="48" customHeight="1" x14ac:dyDescent="0.25">
      <c r="A15" s="214" t="s">
        <v>294</v>
      </c>
      <c r="B15" s="214"/>
      <c r="C15" s="214"/>
    </row>
    <row r="16" spans="1:3" ht="16.899999999999999" customHeight="1" x14ac:dyDescent="0.2">
      <c r="A16" s="165"/>
      <c r="B16" s="216">
        <v>2020</v>
      </c>
      <c r="C16" s="216"/>
    </row>
    <row r="17" spans="1:3" ht="16.899999999999999" customHeight="1" x14ac:dyDescent="0.25">
      <c r="A17" s="165"/>
      <c r="B17" s="166" t="s">
        <v>174</v>
      </c>
      <c r="C17" s="167" t="s">
        <v>175</v>
      </c>
    </row>
    <row r="18" spans="1:3" ht="16.899999999999999" customHeight="1" x14ac:dyDescent="0.25">
      <c r="A18" s="148" t="s">
        <v>295</v>
      </c>
      <c r="B18" s="155">
        <v>7280</v>
      </c>
      <c r="C18" s="168">
        <v>0.19580716000000001</v>
      </c>
    </row>
    <row r="19" spans="1:3" ht="16.899999999999999" customHeight="1" x14ac:dyDescent="0.25">
      <c r="A19" s="148" t="s">
        <v>296</v>
      </c>
      <c r="B19" s="155">
        <v>11431</v>
      </c>
      <c r="C19" s="168">
        <v>0.29787490999999999</v>
      </c>
    </row>
    <row r="20" spans="1:3" ht="16.899999999999999" customHeight="1" x14ac:dyDescent="0.25">
      <c r="A20" s="148" t="s">
        <v>297</v>
      </c>
      <c r="B20" s="155">
        <v>17072</v>
      </c>
      <c r="C20" s="168">
        <v>0.44917875000000002</v>
      </c>
    </row>
    <row r="21" spans="1:3" ht="16.899999999999999" customHeight="1" x14ac:dyDescent="0.25">
      <c r="A21" s="148" t="s">
        <v>298</v>
      </c>
      <c r="B21" s="155">
        <v>1619</v>
      </c>
      <c r="C21" s="168">
        <v>4.4172790000000003E-2</v>
      </c>
    </row>
    <row r="22" spans="1:3" ht="16.899999999999999" customHeight="1" x14ac:dyDescent="0.25">
      <c r="A22" s="148" t="s">
        <v>299</v>
      </c>
      <c r="B22" s="155">
        <v>484</v>
      </c>
      <c r="C22" s="168">
        <v>1.296639E-2</v>
      </c>
    </row>
    <row r="23" spans="1:3" ht="16.899999999999999" customHeight="1" x14ac:dyDescent="0.25">
      <c r="A23" s="169" t="s">
        <v>263</v>
      </c>
      <c r="B23" s="170">
        <v>1026</v>
      </c>
      <c r="C23" s="177" t="s">
        <v>184</v>
      </c>
    </row>
    <row r="24" spans="1:3" ht="16.899999999999999" customHeight="1" x14ac:dyDescent="0.25">
      <c r="A24" s="172" t="s">
        <v>185</v>
      </c>
      <c r="B24" s="159">
        <v>38912</v>
      </c>
      <c r="C24" s="173">
        <v>1</v>
      </c>
    </row>
    <row r="26" spans="1:3" ht="13.9" customHeight="1" x14ac:dyDescent="0.2">
      <c r="A26" s="165"/>
      <c r="B26" s="165"/>
      <c r="C26" s="165"/>
    </row>
    <row r="27" spans="1:3" ht="48" customHeight="1" x14ac:dyDescent="0.25">
      <c r="A27" s="214" t="s">
        <v>300</v>
      </c>
      <c r="B27" s="214"/>
      <c r="C27" s="214"/>
    </row>
    <row r="28" spans="1:3" ht="16.899999999999999" customHeight="1" x14ac:dyDescent="0.2">
      <c r="A28" s="165"/>
      <c r="B28" s="216">
        <v>2020</v>
      </c>
      <c r="C28" s="216"/>
    </row>
    <row r="29" spans="1:3" ht="16.899999999999999" customHeight="1" x14ac:dyDescent="0.25">
      <c r="A29" s="165"/>
      <c r="B29" s="166" t="s">
        <v>174</v>
      </c>
      <c r="C29" s="167" t="s">
        <v>175</v>
      </c>
    </row>
    <row r="30" spans="1:3" ht="16.899999999999999" customHeight="1" x14ac:dyDescent="0.25">
      <c r="A30" s="148" t="s">
        <v>258</v>
      </c>
      <c r="B30" s="155">
        <v>14867</v>
      </c>
      <c r="C30" s="168">
        <v>0.44991309000000002</v>
      </c>
    </row>
    <row r="31" spans="1:3" ht="16.899999999999999" customHeight="1" x14ac:dyDescent="0.25">
      <c r="A31" s="148" t="s">
        <v>259</v>
      </c>
      <c r="B31" s="155">
        <v>10581</v>
      </c>
      <c r="C31" s="168">
        <v>0.33390142</v>
      </c>
    </row>
    <row r="32" spans="1:3" ht="16.899999999999999" customHeight="1" x14ac:dyDescent="0.25">
      <c r="A32" s="148" t="s">
        <v>260</v>
      </c>
      <c r="B32" s="155">
        <v>3727</v>
      </c>
      <c r="C32" s="168">
        <v>0.12315611999999999</v>
      </c>
    </row>
    <row r="33" spans="1:3" ht="16.899999999999999" customHeight="1" x14ac:dyDescent="0.25">
      <c r="A33" s="148" t="s">
        <v>261</v>
      </c>
      <c r="B33" s="155">
        <v>1584</v>
      </c>
      <c r="C33" s="168">
        <v>5.2421469999999998E-2</v>
      </c>
    </row>
    <row r="34" spans="1:3" ht="16.899999999999999" customHeight="1" x14ac:dyDescent="0.25">
      <c r="A34" s="148" t="s">
        <v>262</v>
      </c>
      <c r="B34" s="155">
        <v>1196</v>
      </c>
      <c r="C34" s="168">
        <v>4.0607900000000002E-2</v>
      </c>
    </row>
    <row r="35" spans="1:3" ht="16.899999999999999" customHeight="1" x14ac:dyDescent="0.25">
      <c r="A35" s="169" t="s">
        <v>263</v>
      </c>
      <c r="B35" s="170">
        <v>6716</v>
      </c>
      <c r="C35" s="177" t="s">
        <v>184</v>
      </c>
    </row>
    <row r="36" spans="1:3" ht="16.899999999999999" customHeight="1" x14ac:dyDescent="0.25">
      <c r="A36" s="172" t="s">
        <v>185</v>
      </c>
      <c r="B36" s="159">
        <v>38671</v>
      </c>
      <c r="C36" s="173">
        <v>1</v>
      </c>
    </row>
    <row r="38" spans="1:3" ht="13.9" customHeight="1" x14ac:dyDescent="0.2">
      <c r="A38" s="165"/>
      <c r="B38" s="165"/>
      <c r="C38" s="165"/>
    </row>
    <row r="39" spans="1:3" ht="48" customHeight="1" x14ac:dyDescent="0.25">
      <c r="A39" s="214" t="s">
        <v>301</v>
      </c>
      <c r="B39" s="214"/>
      <c r="C39" s="214"/>
    </row>
    <row r="40" spans="1:3" ht="16.899999999999999" customHeight="1" x14ac:dyDescent="0.2">
      <c r="A40" s="165"/>
      <c r="B40" s="216">
        <v>2020</v>
      </c>
      <c r="C40" s="216"/>
    </row>
    <row r="41" spans="1:3" ht="16.899999999999999" customHeight="1" x14ac:dyDescent="0.25">
      <c r="A41" s="165"/>
      <c r="B41" s="166" t="s">
        <v>174</v>
      </c>
      <c r="C41" s="167" t="s">
        <v>175</v>
      </c>
    </row>
    <row r="42" spans="1:3" ht="16.899999999999999" customHeight="1" x14ac:dyDescent="0.25">
      <c r="A42" s="148" t="s">
        <v>258</v>
      </c>
      <c r="B42" s="155">
        <v>15364</v>
      </c>
      <c r="C42" s="168">
        <v>0.39738871999999997</v>
      </c>
    </row>
    <row r="43" spans="1:3" ht="16.899999999999999" customHeight="1" x14ac:dyDescent="0.25">
      <c r="A43" s="148" t="s">
        <v>259</v>
      </c>
      <c r="B43" s="155">
        <v>14114</v>
      </c>
      <c r="C43" s="168">
        <v>0.37905327</v>
      </c>
    </row>
    <row r="44" spans="1:3" ht="16.899999999999999" customHeight="1" x14ac:dyDescent="0.25">
      <c r="A44" s="148" t="s">
        <v>260</v>
      </c>
      <c r="B44" s="155">
        <v>4823</v>
      </c>
      <c r="C44" s="168">
        <v>0.13535019000000001</v>
      </c>
    </row>
    <row r="45" spans="1:3" ht="16.899999999999999" customHeight="1" x14ac:dyDescent="0.25">
      <c r="A45" s="148" t="s">
        <v>261</v>
      </c>
      <c r="B45" s="155">
        <v>1748</v>
      </c>
      <c r="C45" s="168">
        <v>4.9711520000000002E-2</v>
      </c>
    </row>
    <row r="46" spans="1:3" ht="16.899999999999999" customHeight="1" x14ac:dyDescent="0.25">
      <c r="A46" s="148" t="s">
        <v>262</v>
      </c>
      <c r="B46" s="155">
        <v>1321</v>
      </c>
      <c r="C46" s="168">
        <v>3.8496299999999997E-2</v>
      </c>
    </row>
    <row r="47" spans="1:3" ht="16.899999999999999" customHeight="1" x14ac:dyDescent="0.25">
      <c r="A47" s="169" t="s">
        <v>263</v>
      </c>
      <c r="B47" s="170">
        <v>1335</v>
      </c>
      <c r="C47" s="177" t="s">
        <v>184</v>
      </c>
    </row>
    <row r="48" spans="1:3" ht="16.899999999999999" customHeight="1" x14ac:dyDescent="0.25">
      <c r="A48" s="172" t="s">
        <v>185</v>
      </c>
      <c r="B48" s="159">
        <v>38705</v>
      </c>
      <c r="C48" s="173">
        <v>1</v>
      </c>
    </row>
    <row r="50" spans="1:3" ht="13.9" customHeight="1" x14ac:dyDescent="0.2">
      <c r="A50" s="165"/>
      <c r="B50" s="165"/>
      <c r="C50" s="165"/>
    </row>
    <row r="51" spans="1:3" ht="16.149999999999999" customHeight="1" x14ac:dyDescent="0.2">
      <c r="A51" s="217" t="s">
        <v>217</v>
      </c>
      <c r="B51" s="217"/>
      <c r="C51" s="217"/>
    </row>
    <row r="52" spans="1:3" ht="16.149999999999999" customHeight="1" x14ac:dyDescent="0.2">
      <c r="A52" s="217" t="s">
        <v>269</v>
      </c>
      <c r="B52" s="217"/>
      <c r="C52" s="217"/>
    </row>
    <row r="53" spans="1:3" ht="16.149999999999999" customHeight="1" x14ac:dyDescent="0.2">
      <c r="A53" s="217" t="s">
        <v>218</v>
      </c>
      <c r="B53" s="217"/>
      <c r="C53" s="217"/>
    </row>
  </sheetData>
  <sheetProtection algorithmName="SHA-512" hashValue="S8RPtFPVPLkYolqo3dQkGJodJDdns3UKpvKnxCElmAxqQEKHz+GC4XRPGY8/w5wzd8eh5a2JERtwgBDBDMEkzA==" saltValue="iPu3OuVYK4MT4Y1cJNSOjw==" spinCount="100000" sheet="1" objects="1" scenarios="1"/>
  <mergeCells count="11">
    <mergeCell ref="A39:C39"/>
    <mergeCell ref="B40:C40"/>
    <mergeCell ref="A51:C51"/>
    <mergeCell ref="A52:C52"/>
    <mergeCell ref="A53:C53"/>
    <mergeCell ref="B28:C28"/>
    <mergeCell ref="A3:C3"/>
    <mergeCell ref="B4:C4"/>
    <mergeCell ref="A15:C15"/>
    <mergeCell ref="B16:C16"/>
    <mergeCell ref="A27:C27"/>
  </mergeCells>
  <pageMargins left="0.05" right="0.05" top="0.5" bottom="0.5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153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4" t="s">
        <v>287</v>
      </c>
      <c r="B1" s="165"/>
      <c r="C1" s="165"/>
    </row>
    <row r="2" spans="1:3" ht="13.9" customHeight="1" x14ac:dyDescent="0.2">
      <c r="A2" s="165"/>
      <c r="B2" s="165"/>
      <c r="C2" s="165"/>
    </row>
    <row r="3" spans="1:3" ht="48" customHeight="1" x14ac:dyDescent="0.25">
      <c r="A3" s="215" t="s">
        <v>302</v>
      </c>
      <c r="B3" s="215"/>
      <c r="C3" s="215"/>
    </row>
    <row r="4" spans="1:3" ht="13.9" customHeight="1" x14ac:dyDescent="0.2">
      <c r="A4" s="165"/>
      <c r="B4" s="165"/>
      <c r="C4" s="165"/>
    </row>
    <row r="5" spans="1:3" ht="48" customHeight="1" x14ac:dyDescent="0.25">
      <c r="A5" s="214" t="s">
        <v>303</v>
      </c>
      <c r="B5" s="214"/>
      <c r="C5" s="214"/>
    </row>
    <row r="6" spans="1:3" ht="16.899999999999999" customHeight="1" x14ac:dyDescent="0.2">
      <c r="A6" s="165"/>
      <c r="B6" s="216">
        <v>2020</v>
      </c>
      <c r="C6" s="216"/>
    </row>
    <row r="7" spans="1:3" ht="16.899999999999999" customHeight="1" x14ac:dyDescent="0.25">
      <c r="A7" s="165"/>
      <c r="B7" s="166" t="s">
        <v>174</v>
      </c>
      <c r="C7" s="167" t="s">
        <v>175</v>
      </c>
    </row>
    <row r="8" spans="1:3" ht="16.899999999999999" customHeight="1" x14ac:dyDescent="0.25">
      <c r="A8" s="148" t="s">
        <v>304</v>
      </c>
      <c r="B8" s="155">
        <v>21788</v>
      </c>
      <c r="C8" s="168">
        <v>0.58263659999999995</v>
      </c>
    </row>
    <row r="9" spans="1:3" ht="16.899999999999999" customHeight="1" x14ac:dyDescent="0.25">
      <c r="A9" s="148" t="s">
        <v>305</v>
      </c>
      <c r="B9" s="155">
        <v>13384</v>
      </c>
      <c r="C9" s="168">
        <v>0.36609595</v>
      </c>
    </row>
    <row r="10" spans="1:3" ht="16.899999999999999" customHeight="1" x14ac:dyDescent="0.25">
      <c r="A10" s="148" t="s">
        <v>306</v>
      </c>
      <c r="B10" s="155">
        <v>1421</v>
      </c>
      <c r="C10" s="168">
        <v>4.0730530000000001E-2</v>
      </c>
    </row>
    <row r="11" spans="1:3" ht="16.899999999999999" customHeight="1" x14ac:dyDescent="0.25">
      <c r="A11" s="148" t="s">
        <v>307</v>
      </c>
      <c r="B11" s="155">
        <v>251</v>
      </c>
      <c r="C11" s="168">
        <v>7.2619499999999997E-3</v>
      </c>
    </row>
    <row r="12" spans="1:3" ht="16.899999999999999" customHeight="1" x14ac:dyDescent="0.25">
      <c r="A12" s="148" t="s">
        <v>308</v>
      </c>
      <c r="B12" s="155">
        <v>110</v>
      </c>
      <c r="C12" s="168">
        <v>3.2749699999999999E-3</v>
      </c>
    </row>
    <row r="13" spans="1:3" ht="16.899999999999999" customHeight="1" x14ac:dyDescent="0.25">
      <c r="A13" s="169" t="s">
        <v>263</v>
      </c>
      <c r="B13" s="170">
        <v>1620</v>
      </c>
      <c r="C13" s="177" t="s">
        <v>184</v>
      </c>
    </row>
    <row r="14" spans="1:3" ht="16.899999999999999" customHeight="1" x14ac:dyDescent="0.25">
      <c r="A14" s="172" t="s">
        <v>185</v>
      </c>
      <c r="B14" s="159">
        <v>38574</v>
      </c>
      <c r="C14" s="173">
        <v>1</v>
      </c>
    </row>
    <row r="16" spans="1:3" ht="13.9" customHeight="1" x14ac:dyDescent="0.2">
      <c r="A16" s="165"/>
      <c r="B16" s="165"/>
      <c r="C16" s="165"/>
    </row>
    <row r="17" spans="1:3" ht="48" customHeight="1" x14ac:dyDescent="0.25">
      <c r="A17" s="214" t="s">
        <v>309</v>
      </c>
      <c r="B17" s="214"/>
      <c r="C17" s="214"/>
    </row>
    <row r="18" spans="1:3" ht="16.899999999999999" customHeight="1" x14ac:dyDescent="0.2">
      <c r="A18" s="165"/>
      <c r="B18" s="216">
        <v>2020</v>
      </c>
      <c r="C18" s="216"/>
    </row>
    <row r="19" spans="1:3" ht="16.899999999999999" customHeight="1" x14ac:dyDescent="0.25">
      <c r="A19" s="165"/>
      <c r="B19" s="166" t="s">
        <v>174</v>
      </c>
      <c r="C19" s="167" t="s">
        <v>175</v>
      </c>
    </row>
    <row r="20" spans="1:3" ht="16.899999999999999" customHeight="1" x14ac:dyDescent="0.25">
      <c r="A20" s="148" t="s">
        <v>304</v>
      </c>
      <c r="B20" s="155">
        <v>23947</v>
      </c>
      <c r="C20" s="168">
        <v>0.63784854000000002</v>
      </c>
    </row>
    <row r="21" spans="1:3" ht="16.899999999999999" customHeight="1" x14ac:dyDescent="0.25">
      <c r="A21" s="148" t="s">
        <v>305</v>
      </c>
      <c r="B21" s="155">
        <v>11130</v>
      </c>
      <c r="C21" s="168">
        <v>0.30722989000000001</v>
      </c>
    </row>
    <row r="22" spans="1:3" ht="16.899999999999999" customHeight="1" x14ac:dyDescent="0.25">
      <c r="A22" s="148" t="s">
        <v>306</v>
      </c>
      <c r="B22" s="155">
        <v>1495</v>
      </c>
      <c r="C22" s="168">
        <v>4.3059119999999999E-2</v>
      </c>
    </row>
    <row r="23" spans="1:3" ht="16.899999999999999" customHeight="1" x14ac:dyDescent="0.25">
      <c r="A23" s="148" t="s">
        <v>307</v>
      </c>
      <c r="B23" s="155">
        <v>291</v>
      </c>
      <c r="C23" s="168">
        <v>8.4891700000000007E-3</v>
      </c>
    </row>
    <row r="24" spans="1:3" ht="16.899999999999999" customHeight="1" x14ac:dyDescent="0.25">
      <c r="A24" s="148" t="s">
        <v>308</v>
      </c>
      <c r="B24" s="155">
        <v>113</v>
      </c>
      <c r="C24" s="168">
        <v>3.3732699999999998E-3</v>
      </c>
    </row>
    <row r="25" spans="1:3" ht="16.899999999999999" customHeight="1" x14ac:dyDescent="0.25">
      <c r="A25" s="169" t="s">
        <v>263</v>
      </c>
      <c r="B25" s="170">
        <v>1377</v>
      </c>
      <c r="C25" s="177" t="s">
        <v>184</v>
      </c>
    </row>
    <row r="26" spans="1:3" ht="16.899999999999999" customHeight="1" x14ac:dyDescent="0.25">
      <c r="A26" s="172" t="s">
        <v>185</v>
      </c>
      <c r="B26" s="159">
        <v>38353</v>
      </c>
      <c r="C26" s="173">
        <v>1</v>
      </c>
    </row>
    <row r="28" spans="1:3" ht="13.9" customHeight="1" x14ac:dyDescent="0.2">
      <c r="A28" s="165"/>
      <c r="B28" s="165"/>
      <c r="C28" s="165"/>
    </row>
    <row r="29" spans="1:3" ht="48" customHeight="1" x14ac:dyDescent="0.25">
      <c r="A29" s="214" t="s">
        <v>310</v>
      </c>
      <c r="B29" s="214"/>
      <c r="C29" s="214"/>
    </row>
    <row r="30" spans="1:3" ht="16.899999999999999" customHeight="1" x14ac:dyDescent="0.2">
      <c r="A30" s="165"/>
      <c r="B30" s="216">
        <v>2020</v>
      </c>
      <c r="C30" s="216"/>
    </row>
    <row r="31" spans="1:3" ht="16.899999999999999" customHeight="1" x14ac:dyDescent="0.25">
      <c r="A31" s="165"/>
      <c r="B31" s="166" t="s">
        <v>174</v>
      </c>
      <c r="C31" s="167" t="s">
        <v>175</v>
      </c>
    </row>
    <row r="32" spans="1:3" ht="16.899999999999999" customHeight="1" x14ac:dyDescent="0.25">
      <c r="A32" s="148" t="s">
        <v>304</v>
      </c>
      <c r="B32" s="155">
        <v>23236</v>
      </c>
      <c r="C32" s="168">
        <v>0.61911358999999999</v>
      </c>
    </row>
    <row r="33" spans="1:3" ht="16.899999999999999" customHeight="1" x14ac:dyDescent="0.25">
      <c r="A33" s="148" t="s">
        <v>305</v>
      </c>
      <c r="B33" s="155">
        <v>11593</v>
      </c>
      <c r="C33" s="168">
        <v>0.31728819000000003</v>
      </c>
    </row>
    <row r="34" spans="1:3" ht="16.899999999999999" customHeight="1" x14ac:dyDescent="0.25">
      <c r="A34" s="148" t="s">
        <v>306</v>
      </c>
      <c r="B34" s="155">
        <v>1825</v>
      </c>
      <c r="C34" s="168">
        <v>5.2352080000000002E-2</v>
      </c>
    </row>
    <row r="35" spans="1:3" ht="16.899999999999999" customHeight="1" x14ac:dyDescent="0.25">
      <c r="A35" s="148" t="s">
        <v>307</v>
      </c>
      <c r="B35" s="155">
        <v>291</v>
      </c>
      <c r="C35" s="168">
        <v>8.2004499999999998E-3</v>
      </c>
    </row>
    <row r="36" spans="1:3" ht="16.899999999999999" customHeight="1" x14ac:dyDescent="0.25">
      <c r="A36" s="148" t="s">
        <v>308</v>
      </c>
      <c r="B36" s="155">
        <v>104</v>
      </c>
      <c r="C36" s="168">
        <v>3.0456799999999998E-3</v>
      </c>
    </row>
    <row r="37" spans="1:3" ht="16.899999999999999" customHeight="1" x14ac:dyDescent="0.25">
      <c r="A37" s="169" t="s">
        <v>263</v>
      </c>
      <c r="B37" s="170">
        <v>1494</v>
      </c>
      <c r="C37" s="177" t="s">
        <v>184</v>
      </c>
    </row>
    <row r="38" spans="1:3" ht="16.899999999999999" customHeight="1" x14ac:dyDescent="0.25">
      <c r="A38" s="172" t="s">
        <v>185</v>
      </c>
      <c r="B38" s="159">
        <v>38543</v>
      </c>
      <c r="C38" s="173">
        <v>1</v>
      </c>
    </row>
    <row r="40" spans="1:3" ht="13.9" customHeight="1" x14ac:dyDescent="0.2">
      <c r="A40" s="165"/>
      <c r="B40" s="165"/>
      <c r="C40" s="165"/>
    </row>
    <row r="41" spans="1:3" ht="48" customHeight="1" x14ac:dyDescent="0.25">
      <c r="A41" s="214" t="s">
        <v>311</v>
      </c>
      <c r="B41" s="214"/>
      <c r="C41" s="214"/>
    </row>
    <row r="42" spans="1:3" ht="16.899999999999999" customHeight="1" x14ac:dyDescent="0.2">
      <c r="A42" s="165"/>
      <c r="B42" s="216">
        <v>2020</v>
      </c>
      <c r="C42" s="216"/>
    </row>
    <row r="43" spans="1:3" ht="16.899999999999999" customHeight="1" x14ac:dyDescent="0.25">
      <c r="A43" s="165"/>
      <c r="B43" s="166" t="s">
        <v>174</v>
      </c>
      <c r="C43" s="167" t="s">
        <v>175</v>
      </c>
    </row>
    <row r="44" spans="1:3" ht="16.899999999999999" customHeight="1" x14ac:dyDescent="0.25">
      <c r="A44" s="148" t="s">
        <v>304</v>
      </c>
      <c r="B44" s="155">
        <v>23044</v>
      </c>
      <c r="C44" s="168">
        <v>0.61132189000000003</v>
      </c>
    </row>
    <row r="45" spans="1:3" ht="16.899999999999999" customHeight="1" x14ac:dyDescent="0.25">
      <c r="A45" s="148" t="s">
        <v>305</v>
      </c>
      <c r="B45" s="155">
        <v>11339</v>
      </c>
      <c r="C45" s="168">
        <v>0.30870600999999998</v>
      </c>
    </row>
    <row r="46" spans="1:3" ht="16.899999999999999" customHeight="1" x14ac:dyDescent="0.25">
      <c r="A46" s="148" t="s">
        <v>306</v>
      </c>
      <c r="B46" s="155">
        <v>2195</v>
      </c>
      <c r="C46" s="168">
        <v>6.1912170000000002E-2</v>
      </c>
    </row>
    <row r="47" spans="1:3" ht="16.899999999999999" customHeight="1" x14ac:dyDescent="0.25">
      <c r="A47" s="148" t="s">
        <v>307</v>
      </c>
      <c r="B47" s="155">
        <v>487</v>
      </c>
      <c r="C47" s="168">
        <v>1.377141E-2</v>
      </c>
    </row>
    <row r="48" spans="1:3" ht="16.899999999999999" customHeight="1" x14ac:dyDescent="0.25">
      <c r="A48" s="148" t="s">
        <v>308</v>
      </c>
      <c r="B48" s="155">
        <v>149</v>
      </c>
      <c r="C48" s="168">
        <v>4.2885199999999997E-3</v>
      </c>
    </row>
    <row r="49" spans="1:3" ht="16.899999999999999" customHeight="1" x14ac:dyDescent="0.25">
      <c r="A49" s="169" t="s">
        <v>263</v>
      </c>
      <c r="B49" s="170">
        <v>1324</v>
      </c>
      <c r="C49" s="177" t="s">
        <v>184</v>
      </c>
    </row>
    <row r="50" spans="1:3" ht="16.899999999999999" customHeight="1" x14ac:dyDescent="0.25">
      <c r="A50" s="172" t="s">
        <v>185</v>
      </c>
      <c r="B50" s="159">
        <v>38538</v>
      </c>
      <c r="C50" s="173">
        <v>1</v>
      </c>
    </row>
    <row r="52" spans="1:3" ht="13.9" customHeight="1" x14ac:dyDescent="0.2">
      <c r="A52" s="165"/>
      <c r="B52" s="165"/>
      <c r="C52" s="165"/>
    </row>
    <row r="53" spans="1:3" ht="48" customHeight="1" x14ac:dyDescent="0.25">
      <c r="A53" s="214" t="s">
        <v>312</v>
      </c>
      <c r="B53" s="214"/>
      <c r="C53" s="214"/>
    </row>
    <row r="54" spans="1:3" ht="16.899999999999999" customHeight="1" x14ac:dyDescent="0.2">
      <c r="A54" s="165"/>
      <c r="B54" s="216">
        <v>2020</v>
      </c>
      <c r="C54" s="216"/>
    </row>
    <row r="55" spans="1:3" ht="16.899999999999999" customHeight="1" x14ac:dyDescent="0.25">
      <c r="A55" s="165"/>
      <c r="B55" s="166" t="s">
        <v>174</v>
      </c>
      <c r="C55" s="167" t="s">
        <v>175</v>
      </c>
    </row>
    <row r="56" spans="1:3" ht="16.899999999999999" customHeight="1" x14ac:dyDescent="0.25">
      <c r="A56" s="148" t="s">
        <v>304</v>
      </c>
      <c r="B56" s="155">
        <v>22333</v>
      </c>
      <c r="C56" s="168">
        <v>0.59262444999999997</v>
      </c>
    </row>
    <row r="57" spans="1:3" ht="16.899999999999999" customHeight="1" x14ac:dyDescent="0.25">
      <c r="A57" s="148" t="s">
        <v>305</v>
      </c>
      <c r="B57" s="155">
        <v>11164</v>
      </c>
      <c r="C57" s="168">
        <v>0.30220543</v>
      </c>
    </row>
    <row r="58" spans="1:3" ht="16.899999999999999" customHeight="1" x14ac:dyDescent="0.25">
      <c r="A58" s="148" t="s">
        <v>306</v>
      </c>
      <c r="B58" s="155">
        <v>2709</v>
      </c>
      <c r="C58" s="168">
        <v>7.5291269999999993E-2</v>
      </c>
    </row>
    <row r="59" spans="1:3" ht="16.899999999999999" customHeight="1" x14ac:dyDescent="0.25">
      <c r="A59" s="148" t="s">
        <v>307</v>
      </c>
      <c r="B59" s="155">
        <v>826</v>
      </c>
      <c r="C59" s="168">
        <v>2.3133850000000001E-2</v>
      </c>
    </row>
    <row r="60" spans="1:3" ht="16.899999999999999" customHeight="1" x14ac:dyDescent="0.25">
      <c r="A60" s="148" t="s">
        <v>308</v>
      </c>
      <c r="B60" s="155">
        <v>234</v>
      </c>
      <c r="C60" s="168">
        <v>6.7450100000000001E-3</v>
      </c>
    </row>
    <row r="61" spans="1:3" ht="16.899999999999999" customHeight="1" x14ac:dyDescent="0.25">
      <c r="A61" s="169" t="s">
        <v>263</v>
      </c>
      <c r="B61" s="170">
        <v>1340</v>
      </c>
      <c r="C61" s="177" t="s">
        <v>184</v>
      </c>
    </row>
    <row r="62" spans="1:3" ht="16.899999999999999" customHeight="1" x14ac:dyDescent="0.25">
      <c r="A62" s="172" t="s">
        <v>185</v>
      </c>
      <c r="B62" s="159">
        <v>38606</v>
      </c>
      <c r="C62" s="173">
        <v>1</v>
      </c>
    </row>
    <row r="64" spans="1:3" ht="13.9" customHeight="1" x14ac:dyDescent="0.2">
      <c r="A64" s="165"/>
      <c r="B64" s="165"/>
      <c r="C64" s="165"/>
    </row>
    <row r="65" spans="1:3" ht="48" customHeight="1" x14ac:dyDescent="0.25">
      <c r="A65" s="214" t="s">
        <v>313</v>
      </c>
      <c r="B65" s="214"/>
      <c r="C65" s="214"/>
    </row>
    <row r="66" spans="1:3" ht="16.899999999999999" customHeight="1" x14ac:dyDescent="0.2">
      <c r="A66" s="165"/>
      <c r="B66" s="216">
        <v>2020</v>
      </c>
      <c r="C66" s="216"/>
    </row>
    <row r="67" spans="1:3" ht="16.899999999999999" customHeight="1" x14ac:dyDescent="0.25">
      <c r="A67" s="165"/>
      <c r="B67" s="166" t="s">
        <v>174</v>
      </c>
      <c r="C67" s="167" t="s">
        <v>175</v>
      </c>
    </row>
    <row r="68" spans="1:3" ht="16.899999999999999" customHeight="1" x14ac:dyDescent="0.25">
      <c r="A68" s="148" t="s">
        <v>304</v>
      </c>
      <c r="B68" s="155">
        <v>21561</v>
      </c>
      <c r="C68" s="168">
        <v>0.57865763000000003</v>
      </c>
    </row>
    <row r="69" spans="1:3" ht="16.899999999999999" customHeight="1" x14ac:dyDescent="0.25">
      <c r="A69" s="148" t="s">
        <v>305</v>
      </c>
      <c r="B69" s="155">
        <v>12723</v>
      </c>
      <c r="C69" s="168">
        <v>0.35025401</v>
      </c>
    </row>
    <row r="70" spans="1:3" ht="16.899999999999999" customHeight="1" x14ac:dyDescent="0.25">
      <c r="A70" s="148" t="s">
        <v>306</v>
      </c>
      <c r="B70" s="155">
        <v>2049</v>
      </c>
      <c r="C70" s="168">
        <v>5.9101479999999998E-2</v>
      </c>
    </row>
    <row r="71" spans="1:3" ht="16.899999999999999" customHeight="1" x14ac:dyDescent="0.25">
      <c r="A71" s="148" t="s">
        <v>307</v>
      </c>
      <c r="B71" s="155">
        <v>309</v>
      </c>
      <c r="C71" s="168">
        <v>8.7945300000000001E-3</v>
      </c>
    </row>
    <row r="72" spans="1:3" ht="16.899999999999999" customHeight="1" x14ac:dyDescent="0.25">
      <c r="A72" s="148" t="s">
        <v>308</v>
      </c>
      <c r="B72" s="155">
        <v>107</v>
      </c>
      <c r="C72" s="168">
        <v>3.19235E-3</v>
      </c>
    </row>
    <row r="73" spans="1:3" ht="16.899999999999999" customHeight="1" x14ac:dyDescent="0.25">
      <c r="A73" s="169" t="s">
        <v>263</v>
      </c>
      <c r="B73" s="170">
        <v>1731</v>
      </c>
      <c r="C73" s="177" t="s">
        <v>184</v>
      </c>
    </row>
    <row r="74" spans="1:3" ht="16.899999999999999" customHeight="1" x14ac:dyDescent="0.25">
      <c r="A74" s="172" t="s">
        <v>185</v>
      </c>
      <c r="B74" s="159">
        <v>38480</v>
      </c>
      <c r="C74" s="173">
        <v>1</v>
      </c>
    </row>
    <row r="76" spans="1:3" ht="13.9" customHeight="1" x14ac:dyDescent="0.2">
      <c r="A76" s="165"/>
      <c r="B76" s="165"/>
      <c r="C76" s="165"/>
    </row>
    <row r="77" spans="1:3" ht="48" customHeight="1" x14ac:dyDescent="0.25">
      <c r="A77" s="215" t="s">
        <v>314</v>
      </c>
      <c r="B77" s="215"/>
      <c r="C77" s="215"/>
    </row>
    <row r="78" spans="1:3" ht="13.9" customHeight="1" x14ac:dyDescent="0.2">
      <c r="A78" s="165"/>
      <c r="B78" s="165"/>
      <c r="C78" s="165"/>
    </row>
    <row r="79" spans="1:3" ht="48" customHeight="1" x14ac:dyDescent="0.25">
      <c r="A79" s="214" t="s">
        <v>315</v>
      </c>
      <c r="B79" s="214"/>
      <c r="C79" s="214"/>
    </row>
    <row r="80" spans="1:3" ht="16.899999999999999" customHeight="1" x14ac:dyDescent="0.2">
      <c r="A80" s="165"/>
      <c r="B80" s="216">
        <v>2020</v>
      </c>
      <c r="C80" s="216"/>
    </row>
    <row r="81" spans="1:3" ht="16.899999999999999" customHeight="1" x14ac:dyDescent="0.25">
      <c r="A81" s="165"/>
      <c r="B81" s="166" t="s">
        <v>174</v>
      </c>
      <c r="C81" s="167" t="s">
        <v>175</v>
      </c>
    </row>
    <row r="82" spans="1:3" ht="16.899999999999999" customHeight="1" x14ac:dyDescent="0.25">
      <c r="A82" s="148" t="s">
        <v>304</v>
      </c>
      <c r="B82" s="155">
        <v>16863</v>
      </c>
      <c r="C82" s="168">
        <v>0.45481352000000003</v>
      </c>
    </row>
    <row r="83" spans="1:3" ht="16.899999999999999" customHeight="1" x14ac:dyDescent="0.25">
      <c r="A83" s="148" t="s">
        <v>305</v>
      </c>
      <c r="B83" s="155">
        <v>13055</v>
      </c>
      <c r="C83" s="168">
        <v>0.36333908999999998</v>
      </c>
    </row>
    <row r="84" spans="1:3" ht="16.899999999999999" customHeight="1" x14ac:dyDescent="0.25">
      <c r="A84" s="148" t="s">
        <v>306</v>
      </c>
      <c r="B84" s="155">
        <v>4574</v>
      </c>
      <c r="C84" s="168">
        <v>0.13288257000000001</v>
      </c>
    </row>
    <row r="85" spans="1:3" ht="16.899999999999999" customHeight="1" x14ac:dyDescent="0.25">
      <c r="A85" s="148" t="s">
        <v>307</v>
      </c>
      <c r="B85" s="155">
        <v>1351</v>
      </c>
      <c r="C85" s="168">
        <v>3.9314639999999998E-2</v>
      </c>
    </row>
    <row r="86" spans="1:3" ht="16.899999999999999" customHeight="1" x14ac:dyDescent="0.25">
      <c r="A86" s="148" t="s">
        <v>308</v>
      </c>
      <c r="B86" s="155">
        <v>343</v>
      </c>
      <c r="C86" s="168">
        <v>9.6501699999999996E-3</v>
      </c>
    </row>
    <row r="87" spans="1:3" ht="16.899999999999999" customHeight="1" x14ac:dyDescent="0.25">
      <c r="A87" s="169" t="s">
        <v>263</v>
      </c>
      <c r="B87" s="170">
        <v>2305</v>
      </c>
      <c r="C87" s="177" t="s">
        <v>184</v>
      </c>
    </row>
    <row r="88" spans="1:3" ht="16.899999999999999" customHeight="1" x14ac:dyDescent="0.25">
      <c r="A88" s="172" t="s">
        <v>185</v>
      </c>
      <c r="B88" s="159">
        <v>38491</v>
      </c>
      <c r="C88" s="173">
        <v>1</v>
      </c>
    </row>
    <row r="90" spans="1:3" ht="13.9" customHeight="1" x14ac:dyDescent="0.2">
      <c r="A90" s="165"/>
      <c r="B90" s="165"/>
      <c r="C90" s="165"/>
    </row>
    <row r="91" spans="1:3" ht="48" customHeight="1" x14ac:dyDescent="0.25">
      <c r="A91" s="214" t="s">
        <v>316</v>
      </c>
      <c r="B91" s="214"/>
      <c r="C91" s="214"/>
    </row>
    <row r="92" spans="1:3" ht="16.899999999999999" customHeight="1" x14ac:dyDescent="0.2">
      <c r="A92" s="165"/>
      <c r="B92" s="216">
        <v>2020</v>
      </c>
      <c r="C92" s="216"/>
    </row>
    <row r="93" spans="1:3" ht="16.899999999999999" customHeight="1" x14ac:dyDescent="0.25">
      <c r="A93" s="165"/>
      <c r="B93" s="166" t="s">
        <v>174</v>
      </c>
      <c r="C93" s="167" t="s">
        <v>175</v>
      </c>
    </row>
    <row r="94" spans="1:3" ht="16.899999999999999" customHeight="1" x14ac:dyDescent="0.25">
      <c r="A94" s="148" t="s">
        <v>304</v>
      </c>
      <c r="B94" s="155">
        <v>20504</v>
      </c>
      <c r="C94" s="168">
        <v>0.55484135999999995</v>
      </c>
    </row>
    <row r="95" spans="1:3" ht="16.899999999999999" customHeight="1" x14ac:dyDescent="0.25">
      <c r="A95" s="148" t="s">
        <v>305</v>
      </c>
      <c r="B95" s="155">
        <v>11143</v>
      </c>
      <c r="C95" s="168">
        <v>0.31329414</v>
      </c>
    </row>
    <row r="96" spans="1:3" ht="16.899999999999999" customHeight="1" x14ac:dyDescent="0.25">
      <c r="A96" s="148" t="s">
        <v>306</v>
      </c>
      <c r="B96" s="155">
        <v>3353</v>
      </c>
      <c r="C96" s="168">
        <v>9.8356940000000004E-2</v>
      </c>
    </row>
    <row r="97" spans="1:3" ht="16.899999999999999" customHeight="1" x14ac:dyDescent="0.25">
      <c r="A97" s="148" t="s">
        <v>307</v>
      </c>
      <c r="B97" s="155">
        <v>871</v>
      </c>
      <c r="C97" s="168">
        <v>2.5330209999999999E-2</v>
      </c>
    </row>
    <row r="98" spans="1:3" ht="16.899999999999999" customHeight="1" x14ac:dyDescent="0.25">
      <c r="A98" s="148" t="s">
        <v>308</v>
      </c>
      <c r="B98" s="155">
        <v>282</v>
      </c>
      <c r="C98" s="168">
        <v>8.1773499999999999E-3</v>
      </c>
    </row>
    <row r="99" spans="1:3" ht="16.899999999999999" customHeight="1" x14ac:dyDescent="0.25">
      <c r="A99" s="169" t="s">
        <v>263</v>
      </c>
      <c r="B99" s="170">
        <v>2233</v>
      </c>
      <c r="C99" s="177" t="s">
        <v>184</v>
      </c>
    </row>
    <row r="100" spans="1:3" ht="16.899999999999999" customHeight="1" x14ac:dyDescent="0.25">
      <c r="A100" s="172" t="s">
        <v>185</v>
      </c>
      <c r="B100" s="159">
        <v>38386</v>
      </c>
      <c r="C100" s="173">
        <v>1</v>
      </c>
    </row>
    <row r="102" spans="1:3" ht="13.9" customHeight="1" x14ac:dyDescent="0.2">
      <c r="A102" s="165"/>
      <c r="B102" s="165"/>
      <c r="C102" s="165"/>
    </row>
    <row r="103" spans="1:3" ht="48" customHeight="1" x14ac:dyDescent="0.25">
      <c r="A103" s="214" t="s">
        <v>317</v>
      </c>
      <c r="B103" s="214"/>
      <c r="C103" s="214"/>
    </row>
    <row r="104" spans="1:3" ht="16.899999999999999" customHeight="1" x14ac:dyDescent="0.2">
      <c r="A104" s="165"/>
      <c r="B104" s="216">
        <v>2020</v>
      </c>
      <c r="C104" s="216"/>
    </row>
    <row r="105" spans="1:3" ht="16.899999999999999" customHeight="1" x14ac:dyDescent="0.25">
      <c r="A105" s="165"/>
      <c r="B105" s="166" t="s">
        <v>174</v>
      </c>
      <c r="C105" s="167" t="s">
        <v>175</v>
      </c>
    </row>
    <row r="106" spans="1:3" ht="16.899999999999999" customHeight="1" x14ac:dyDescent="0.25">
      <c r="A106" s="148" t="s">
        <v>304</v>
      </c>
      <c r="B106" s="155">
        <v>20274</v>
      </c>
      <c r="C106" s="168">
        <v>0.54903252000000002</v>
      </c>
    </row>
    <row r="107" spans="1:3" ht="16.899999999999999" customHeight="1" x14ac:dyDescent="0.25">
      <c r="A107" s="148" t="s">
        <v>305</v>
      </c>
      <c r="B107" s="155">
        <v>11339</v>
      </c>
      <c r="C107" s="168">
        <v>0.31710807000000002</v>
      </c>
    </row>
    <row r="108" spans="1:3" ht="16.899999999999999" customHeight="1" x14ac:dyDescent="0.25">
      <c r="A108" s="148" t="s">
        <v>306</v>
      </c>
      <c r="B108" s="155">
        <v>3523</v>
      </c>
      <c r="C108" s="168">
        <v>0.10249145</v>
      </c>
    </row>
    <row r="109" spans="1:3" ht="16.899999999999999" customHeight="1" x14ac:dyDescent="0.25">
      <c r="A109" s="148" t="s">
        <v>307</v>
      </c>
      <c r="B109" s="155">
        <v>823</v>
      </c>
      <c r="C109" s="168">
        <v>2.4283409999999998E-2</v>
      </c>
    </row>
    <row r="110" spans="1:3" ht="16.899999999999999" customHeight="1" x14ac:dyDescent="0.25">
      <c r="A110" s="148" t="s">
        <v>308</v>
      </c>
      <c r="B110" s="155">
        <v>242</v>
      </c>
      <c r="C110" s="168">
        <v>7.0845500000000002E-3</v>
      </c>
    </row>
    <row r="111" spans="1:3" ht="16.899999999999999" customHeight="1" x14ac:dyDescent="0.25">
      <c r="A111" s="169" t="s">
        <v>263</v>
      </c>
      <c r="B111" s="170">
        <v>2334</v>
      </c>
      <c r="C111" s="177" t="s">
        <v>184</v>
      </c>
    </row>
    <row r="112" spans="1:3" ht="16.899999999999999" customHeight="1" x14ac:dyDescent="0.25">
      <c r="A112" s="172" t="s">
        <v>185</v>
      </c>
      <c r="B112" s="159">
        <v>38535</v>
      </c>
      <c r="C112" s="173">
        <v>1</v>
      </c>
    </row>
    <row r="114" spans="1:3" ht="13.9" customHeight="1" x14ac:dyDescent="0.2">
      <c r="A114" s="165"/>
      <c r="B114" s="165"/>
      <c r="C114" s="165"/>
    </row>
    <row r="115" spans="1:3" ht="48" customHeight="1" x14ac:dyDescent="0.25">
      <c r="A115" s="214" t="s">
        <v>318</v>
      </c>
      <c r="B115" s="214"/>
      <c r="C115" s="214"/>
    </row>
    <row r="116" spans="1:3" ht="16.899999999999999" customHeight="1" x14ac:dyDescent="0.2">
      <c r="A116" s="165"/>
      <c r="B116" s="216">
        <v>2020</v>
      </c>
      <c r="C116" s="216"/>
    </row>
    <row r="117" spans="1:3" ht="16.899999999999999" customHeight="1" x14ac:dyDescent="0.25">
      <c r="A117" s="165"/>
      <c r="B117" s="166" t="s">
        <v>174</v>
      </c>
      <c r="C117" s="167" t="s">
        <v>175</v>
      </c>
    </row>
    <row r="118" spans="1:3" ht="16.899999999999999" customHeight="1" x14ac:dyDescent="0.25">
      <c r="A118" s="148" t="s">
        <v>304</v>
      </c>
      <c r="B118" s="155">
        <v>21228</v>
      </c>
      <c r="C118" s="168">
        <v>0.56482613000000004</v>
      </c>
    </row>
    <row r="119" spans="1:3" ht="16.899999999999999" customHeight="1" x14ac:dyDescent="0.25">
      <c r="A119" s="148" t="s">
        <v>305</v>
      </c>
      <c r="B119" s="155">
        <v>11103</v>
      </c>
      <c r="C119" s="168">
        <v>0.30608539000000001</v>
      </c>
    </row>
    <row r="120" spans="1:3" ht="16.899999999999999" customHeight="1" x14ac:dyDescent="0.25">
      <c r="A120" s="148" t="s">
        <v>306</v>
      </c>
      <c r="B120" s="155">
        <v>3403</v>
      </c>
      <c r="C120" s="168">
        <v>9.6995860000000003E-2</v>
      </c>
    </row>
    <row r="121" spans="1:3" ht="16.899999999999999" customHeight="1" x14ac:dyDescent="0.25">
      <c r="A121" s="148" t="s">
        <v>307</v>
      </c>
      <c r="B121" s="155">
        <v>857</v>
      </c>
      <c r="C121" s="168">
        <v>2.5039760000000001E-2</v>
      </c>
    </row>
    <row r="122" spans="1:3" ht="16.899999999999999" customHeight="1" x14ac:dyDescent="0.25">
      <c r="A122" s="148" t="s">
        <v>308</v>
      </c>
      <c r="B122" s="155">
        <v>248</v>
      </c>
      <c r="C122" s="168">
        <v>7.0528600000000002E-3</v>
      </c>
    </row>
    <row r="123" spans="1:3" ht="16.899999999999999" customHeight="1" x14ac:dyDescent="0.25">
      <c r="A123" s="169" t="s">
        <v>263</v>
      </c>
      <c r="B123" s="170">
        <v>1720</v>
      </c>
      <c r="C123" s="177" t="s">
        <v>184</v>
      </c>
    </row>
    <row r="124" spans="1:3" ht="16.899999999999999" customHeight="1" x14ac:dyDescent="0.25">
      <c r="A124" s="172" t="s">
        <v>185</v>
      </c>
      <c r="B124" s="159">
        <v>38559</v>
      </c>
      <c r="C124" s="173">
        <v>1</v>
      </c>
    </row>
    <row r="126" spans="1:3" ht="13.9" customHeight="1" x14ac:dyDescent="0.2">
      <c r="A126" s="165"/>
      <c r="B126" s="165"/>
      <c r="C126" s="165"/>
    </row>
    <row r="127" spans="1:3" ht="48" customHeight="1" x14ac:dyDescent="0.25">
      <c r="A127" s="214" t="s">
        <v>319</v>
      </c>
      <c r="B127" s="214"/>
      <c r="C127" s="214"/>
    </row>
    <row r="128" spans="1:3" ht="16.899999999999999" customHeight="1" x14ac:dyDescent="0.2">
      <c r="A128" s="165"/>
      <c r="B128" s="216">
        <v>2020</v>
      </c>
      <c r="C128" s="216"/>
    </row>
    <row r="129" spans="1:3" ht="16.899999999999999" customHeight="1" x14ac:dyDescent="0.25">
      <c r="A129" s="165"/>
      <c r="B129" s="166" t="s">
        <v>174</v>
      </c>
      <c r="C129" s="167" t="s">
        <v>175</v>
      </c>
    </row>
    <row r="130" spans="1:3" ht="16.899999999999999" customHeight="1" x14ac:dyDescent="0.25">
      <c r="A130" s="148" t="s">
        <v>304</v>
      </c>
      <c r="B130" s="155">
        <v>19930</v>
      </c>
      <c r="C130" s="168">
        <v>0.53514278999999998</v>
      </c>
    </row>
    <row r="131" spans="1:3" ht="16.899999999999999" customHeight="1" x14ac:dyDescent="0.25">
      <c r="A131" s="148" t="s">
        <v>305</v>
      </c>
      <c r="B131" s="155">
        <v>10969</v>
      </c>
      <c r="C131" s="168">
        <v>0.30149297000000003</v>
      </c>
    </row>
    <row r="132" spans="1:3" ht="16.899999999999999" customHeight="1" x14ac:dyDescent="0.25">
      <c r="A132" s="148" t="s">
        <v>306</v>
      </c>
      <c r="B132" s="155">
        <v>4060</v>
      </c>
      <c r="C132" s="168">
        <v>0.11532162</v>
      </c>
    </row>
    <row r="133" spans="1:3" ht="16.899999999999999" customHeight="1" x14ac:dyDescent="0.25">
      <c r="A133" s="148" t="s">
        <v>307</v>
      </c>
      <c r="B133" s="155">
        <v>1278</v>
      </c>
      <c r="C133" s="168">
        <v>3.6865059999999998E-2</v>
      </c>
    </row>
    <row r="134" spans="1:3" ht="16.899999999999999" customHeight="1" x14ac:dyDescent="0.25">
      <c r="A134" s="148" t="s">
        <v>308</v>
      </c>
      <c r="B134" s="155">
        <v>388</v>
      </c>
      <c r="C134" s="168">
        <v>1.117756E-2</v>
      </c>
    </row>
    <row r="135" spans="1:3" ht="16.899999999999999" customHeight="1" x14ac:dyDescent="0.25">
      <c r="A135" s="169" t="s">
        <v>263</v>
      </c>
      <c r="B135" s="170">
        <v>1930</v>
      </c>
      <c r="C135" s="177" t="s">
        <v>184</v>
      </c>
    </row>
    <row r="136" spans="1:3" ht="16.899999999999999" customHeight="1" x14ac:dyDescent="0.25">
      <c r="A136" s="172" t="s">
        <v>185</v>
      </c>
      <c r="B136" s="159">
        <v>38555</v>
      </c>
      <c r="C136" s="173">
        <v>1</v>
      </c>
    </row>
    <row r="138" spans="1:3" ht="13.9" customHeight="1" x14ac:dyDescent="0.2">
      <c r="A138" s="165"/>
      <c r="B138" s="165"/>
      <c r="C138" s="165"/>
    </row>
    <row r="139" spans="1:3" ht="48" customHeight="1" x14ac:dyDescent="0.25">
      <c r="A139" s="214" t="s">
        <v>320</v>
      </c>
      <c r="B139" s="214"/>
      <c r="C139" s="214"/>
    </row>
    <row r="140" spans="1:3" ht="16.899999999999999" customHeight="1" x14ac:dyDescent="0.2">
      <c r="A140" s="165"/>
      <c r="B140" s="216">
        <v>2020</v>
      </c>
      <c r="C140" s="216"/>
    </row>
    <row r="141" spans="1:3" ht="16.899999999999999" customHeight="1" x14ac:dyDescent="0.25">
      <c r="A141" s="165"/>
      <c r="B141" s="166" t="s">
        <v>174</v>
      </c>
      <c r="C141" s="167" t="s">
        <v>175</v>
      </c>
    </row>
    <row r="142" spans="1:3" ht="16.899999999999999" customHeight="1" x14ac:dyDescent="0.25">
      <c r="A142" s="148" t="s">
        <v>304</v>
      </c>
      <c r="B142" s="155">
        <v>18369</v>
      </c>
      <c r="C142" s="168">
        <v>0.50356339000000006</v>
      </c>
    </row>
    <row r="143" spans="1:3" ht="16.899999999999999" customHeight="1" x14ac:dyDescent="0.25">
      <c r="A143" s="148" t="s">
        <v>305</v>
      </c>
      <c r="B143" s="155">
        <v>11928</v>
      </c>
      <c r="C143" s="168">
        <v>0.33631433999999999</v>
      </c>
    </row>
    <row r="144" spans="1:3" ht="16.899999999999999" customHeight="1" x14ac:dyDescent="0.25">
      <c r="A144" s="148" t="s">
        <v>306</v>
      </c>
      <c r="B144" s="155">
        <v>4122</v>
      </c>
      <c r="C144" s="168">
        <v>0.12116148</v>
      </c>
    </row>
    <row r="145" spans="1:3" ht="16.899999999999999" customHeight="1" x14ac:dyDescent="0.25">
      <c r="A145" s="148" t="s">
        <v>307</v>
      </c>
      <c r="B145" s="155">
        <v>1023</v>
      </c>
      <c r="C145" s="168">
        <v>3.0157469999999999E-2</v>
      </c>
    </row>
    <row r="146" spans="1:3" ht="16.899999999999999" customHeight="1" x14ac:dyDescent="0.25">
      <c r="A146" s="148" t="s">
        <v>308</v>
      </c>
      <c r="B146" s="155">
        <v>299</v>
      </c>
      <c r="C146" s="168">
        <v>8.8033199999999999E-3</v>
      </c>
    </row>
    <row r="147" spans="1:3" ht="16.899999999999999" customHeight="1" x14ac:dyDescent="0.25">
      <c r="A147" s="169" t="s">
        <v>263</v>
      </c>
      <c r="B147" s="170">
        <v>2791</v>
      </c>
      <c r="C147" s="177" t="s">
        <v>184</v>
      </c>
    </row>
    <row r="148" spans="1:3" ht="16.899999999999999" customHeight="1" x14ac:dyDescent="0.25">
      <c r="A148" s="172" t="s">
        <v>185</v>
      </c>
      <c r="B148" s="159">
        <v>38532</v>
      </c>
      <c r="C148" s="173">
        <v>1</v>
      </c>
    </row>
    <row r="150" spans="1:3" ht="13.9" customHeight="1" x14ac:dyDescent="0.2">
      <c r="A150" s="165"/>
      <c r="B150" s="165"/>
      <c r="C150" s="165"/>
    </row>
    <row r="151" spans="1:3" ht="16.149999999999999" customHeight="1" x14ac:dyDescent="0.2">
      <c r="A151" s="217" t="s">
        <v>217</v>
      </c>
      <c r="B151" s="217"/>
      <c r="C151" s="217"/>
    </row>
    <row r="152" spans="1:3" ht="16.149999999999999" customHeight="1" x14ac:dyDescent="0.2">
      <c r="A152" s="217" t="s">
        <v>269</v>
      </c>
      <c r="B152" s="217"/>
      <c r="C152" s="217"/>
    </row>
    <row r="153" spans="1:3" ht="16.149999999999999" customHeight="1" x14ac:dyDescent="0.2">
      <c r="A153" s="217" t="s">
        <v>218</v>
      </c>
      <c r="B153" s="217"/>
      <c r="C153" s="217"/>
    </row>
  </sheetData>
  <sheetProtection algorithmName="SHA-512" hashValue="MLKD1hPkKsT/JzLs5Km8PuADVB0ZK/bn0KQ0IJEsuGfoFs5G24aVhcw4Q8EyU//G2/d99FeUn0GH4yV/JV1oHg==" saltValue="n2CXM1U5iqaIn4VAY3fjQg==" spinCount="100000" sheet="1" objects="1" scenarios="1"/>
  <mergeCells count="29">
    <mergeCell ref="A139:C139"/>
    <mergeCell ref="B140:C140"/>
    <mergeCell ref="A151:C151"/>
    <mergeCell ref="A152:C152"/>
    <mergeCell ref="A153:C153"/>
    <mergeCell ref="B128:C128"/>
    <mergeCell ref="B66:C66"/>
    <mergeCell ref="A77:C77"/>
    <mergeCell ref="A79:C79"/>
    <mergeCell ref="B80:C80"/>
    <mergeCell ref="A91:C91"/>
    <mergeCell ref="B92:C92"/>
    <mergeCell ref="A103:C103"/>
    <mergeCell ref="B104:C104"/>
    <mergeCell ref="A115:C115"/>
    <mergeCell ref="B116:C116"/>
    <mergeCell ref="A127:C127"/>
    <mergeCell ref="A65:C65"/>
    <mergeCell ref="A3:C3"/>
    <mergeCell ref="A5:C5"/>
    <mergeCell ref="B6:C6"/>
    <mergeCell ref="A17:C17"/>
    <mergeCell ref="B18:C18"/>
    <mergeCell ref="A29:C29"/>
    <mergeCell ref="B30:C30"/>
    <mergeCell ref="A41:C41"/>
    <mergeCell ref="B42:C42"/>
    <mergeCell ref="A53:C53"/>
    <mergeCell ref="B54:C54"/>
  </mergeCells>
  <pageMargins left="0.05" right="0.05" top="0.5" bottom="0.5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L100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2" width="2.7109375" style="134" bestFit="1" customWidth="1"/>
    <col min="3" max="3" width="102.7109375" style="134" bestFit="1" customWidth="1"/>
    <col min="4" max="4" width="10.7109375" style="134" bestFit="1" customWidth="1"/>
    <col min="5" max="5" width="11.7109375" style="134" bestFit="1" customWidth="1"/>
    <col min="6" max="6" width="15.7109375" style="134" bestFit="1" customWidth="1"/>
    <col min="7" max="7" width="10.7109375" style="134" bestFit="1" customWidth="1"/>
    <col min="8" max="8" width="11.7109375" style="134" bestFit="1" customWidth="1"/>
    <col min="9" max="9" width="15.7109375" style="134" bestFit="1" customWidth="1"/>
    <col min="10" max="10" width="10.7109375" style="134" bestFit="1" customWidth="1"/>
    <col min="11" max="11" width="11.7109375" style="134" bestFit="1" customWidth="1"/>
    <col min="12" max="12" width="15.7109375" style="134" bestFit="1" customWidth="1"/>
    <col min="13" max="16384" width="11.5703125" style="134"/>
  </cols>
  <sheetData>
    <row r="1" spans="1:12" ht="31.9" customHeight="1" x14ac:dyDescent="0.25">
      <c r="A1" s="215" t="s">
        <v>321</v>
      </c>
      <c r="B1" s="215"/>
      <c r="C1" s="215"/>
      <c r="D1" s="215"/>
    </row>
    <row r="3" spans="1:12" ht="16.149999999999999" customHeight="1" x14ac:dyDescent="0.25">
      <c r="A3" s="208" t="s">
        <v>322</v>
      </c>
      <c r="B3" s="208"/>
      <c r="C3" s="208"/>
      <c r="D3" s="210">
        <v>2020</v>
      </c>
      <c r="E3" s="210"/>
      <c r="F3" s="210"/>
      <c r="G3" s="211">
        <v>2019</v>
      </c>
      <c r="H3" s="211"/>
      <c r="I3" s="211"/>
      <c r="J3" s="211">
        <v>2018</v>
      </c>
      <c r="K3" s="211"/>
      <c r="L3" s="211"/>
    </row>
    <row r="4" spans="1:12" ht="16.899999999999999" customHeight="1" x14ac:dyDescent="0.2">
      <c r="A4" s="209"/>
      <c r="B4" s="209"/>
      <c r="C4" s="209"/>
      <c r="D4" s="221" t="s">
        <v>174</v>
      </c>
      <c r="E4" s="221" t="s">
        <v>323</v>
      </c>
      <c r="F4" s="221" t="s">
        <v>324</v>
      </c>
      <c r="G4" s="223" t="s">
        <v>174</v>
      </c>
      <c r="H4" s="221" t="s">
        <v>323</v>
      </c>
      <c r="I4" s="221" t="s">
        <v>324</v>
      </c>
      <c r="J4" s="223" t="s">
        <v>174</v>
      </c>
      <c r="K4" s="221" t="s">
        <v>323</v>
      </c>
      <c r="L4" s="221" t="s">
        <v>324</v>
      </c>
    </row>
    <row r="5" spans="1:12" ht="12" customHeight="1" x14ac:dyDescent="0.2">
      <c r="A5" s="209"/>
      <c r="B5" s="209"/>
      <c r="C5" s="209"/>
      <c r="D5" s="222"/>
      <c r="E5" s="222"/>
      <c r="F5" s="222"/>
      <c r="G5" s="224"/>
      <c r="H5" s="222"/>
      <c r="I5" s="222"/>
      <c r="J5" s="224"/>
      <c r="K5" s="222"/>
      <c r="L5" s="222"/>
    </row>
    <row r="6" spans="1:12" ht="16.149999999999999" customHeight="1" x14ac:dyDescent="0.25">
      <c r="A6" s="148" t="s">
        <v>176</v>
      </c>
      <c r="B6" s="148" t="s">
        <v>176</v>
      </c>
      <c r="C6" s="178" t="s">
        <v>325</v>
      </c>
      <c r="D6" s="182">
        <v>21660</v>
      </c>
      <c r="E6" s="180">
        <v>0.59212975000000001</v>
      </c>
      <c r="F6" s="150">
        <v>0.55573689000000004</v>
      </c>
      <c r="G6" s="183">
        <v>13575</v>
      </c>
      <c r="H6" s="180">
        <v>0.46379918999999997</v>
      </c>
      <c r="I6" s="150">
        <v>0.33466910999999999</v>
      </c>
      <c r="J6" s="183">
        <v>15273</v>
      </c>
      <c r="K6" s="180">
        <v>0.5096946</v>
      </c>
      <c r="L6" s="150">
        <v>0.37883430000000001</v>
      </c>
    </row>
    <row r="7" spans="1:12" ht="16.149999999999999" customHeight="1" x14ac:dyDescent="0.25">
      <c r="A7" s="148" t="s">
        <v>176</v>
      </c>
      <c r="B7" s="148" t="s">
        <v>176</v>
      </c>
      <c r="C7" s="178" t="s">
        <v>326</v>
      </c>
      <c r="D7" s="182">
        <v>11333</v>
      </c>
      <c r="E7" s="180">
        <v>0.31147036</v>
      </c>
      <c r="F7" s="150">
        <v>0.29232709000000001</v>
      </c>
      <c r="G7" s="183">
        <v>9673</v>
      </c>
      <c r="H7" s="180">
        <v>0.32315976000000002</v>
      </c>
      <c r="I7" s="150">
        <v>0.23318623999999999</v>
      </c>
      <c r="J7" s="183">
        <v>9559</v>
      </c>
      <c r="K7" s="180">
        <v>0.31100998000000002</v>
      </c>
      <c r="L7" s="150">
        <v>0.23116048</v>
      </c>
    </row>
    <row r="8" spans="1:12" ht="16.149999999999999" customHeight="1" x14ac:dyDescent="0.25">
      <c r="A8" s="148" t="s">
        <v>176</v>
      </c>
      <c r="B8" s="148" t="s">
        <v>176</v>
      </c>
      <c r="C8" s="178" t="s">
        <v>327</v>
      </c>
      <c r="D8" s="182">
        <v>1972</v>
      </c>
      <c r="E8" s="180">
        <v>5.5133000000000001E-2</v>
      </c>
      <c r="F8" s="150">
        <v>5.1744470000000001E-2</v>
      </c>
      <c r="G8" s="183">
        <v>3248</v>
      </c>
      <c r="H8" s="180">
        <v>0.11036290999999999</v>
      </c>
      <c r="I8" s="150">
        <v>7.9635880000000006E-2</v>
      </c>
      <c r="J8" s="183">
        <v>3209</v>
      </c>
      <c r="K8" s="180">
        <v>0.10729805000000001</v>
      </c>
      <c r="L8" s="150">
        <v>7.9750070000000006E-2</v>
      </c>
    </row>
    <row r="9" spans="1:12" ht="16.149999999999999" customHeight="1" x14ac:dyDescent="0.25">
      <c r="A9" s="148" t="s">
        <v>176</v>
      </c>
      <c r="B9" s="148" t="s">
        <v>176</v>
      </c>
      <c r="C9" s="178" t="s">
        <v>328</v>
      </c>
      <c r="D9" s="182">
        <v>1010</v>
      </c>
      <c r="E9" s="180">
        <v>2.7463040000000001E-2</v>
      </c>
      <c r="F9" s="150">
        <v>2.577513E-2</v>
      </c>
      <c r="G9" s="183">
        <v>1709</v>
      </c>
      <c r="H9" s="180">
        <v>5.7539479999999997E-2</v>
      </c>
      <c r="I9" s="150">
        <v>4.1519449999999999E-2</v>
      </c>
      <c r="J9" s="183">
        <v>1221</v>
      </c>
      <c r="K9" s="180">
        <v>3.9409149999999997E-2</v>
      </c>
      <c r="L9" s="150">
        <v>2.929114E-2</v>
      </c>
    </row>
    <row r="10" spans="1:12" ht="16.149999999999999" customHeight="1" x14ac:dyDescent="0.25">
      <c r="A10" s="148" t="s">
        <v>176</v>
      </c>
      <c r="B10" s="148" t="s">
        <v>176</v>
      </c>
      <c r="C10" s="178" t="s">
        <v>329</v>
      </c>
      <c r="D10" s="179">
        <v>489</v>
      </c>
      <c r="E10" s="180">
        <v>1.3803859999999999E-2</v>
      </c>
      <c r="F10" s="150">
        <v>1.295546E-2</v>
      </c>
      <c r="G10" s="183">
        <v>1281</v>
      </c>
      <c r="H10" s="180">
        <v>4.5138659999999997E-2</v>
      </c>
      <c r="I10" s="150">
        <v>3.2571240000000001E-2</v>
      </c>
      <c r="J10" s="181">
        <v>954</v>
      </c>
      <c r="K10" s="180">
        <v>3.2588230000000003E-2</v>
      </c>
      <c r="L10" s="150">
        <v>2.422144E-2</v>
      </c>
    </row>
    <row r="11" spans="1:12" ht="16.149999999999999" customHeight="1" x14ac:dyDescent="0.25">
      <c r="A11" s="148" t="s">
        <v>176</v>
      </c>
      <c r="B11" s="212" t="s">
        <v>182</v>
      </c>
      <c r="C11" s="212"/>
      <c r="D11" s="157">
        <v>36464</v>
      </c>
      <c r="E11" s="152">
        <v>1</v>
      </c>
      <c r="F11" s="152">
        <v>0.93853905000000004</v>
      </c>
      <c r="G11" s="158">
        <v>29486</v>
      </c>
      <c r="H11" s="152">
        <v>1</v>
      </c>
      <c r="I11" s="152">
        <v>0.72158191999999999</v>
      </c>
      <c r="J11" s="158">
        <v>30216</v>
      </c>
      <c r="K11" s="152">
        <v>1</v>
      </c>
      <c r="L11" s="152">
        <v>0.74325743</v>
      </c>
    </row>
    <row r="12" spans="1:12" ht="16.149999999999999" customHeight="1" x14ac:dyDescent="0.25">
      <c r="A12" s="148" t="s">
        <v>176</v>
      </c>
      <c r="B12" s="148" t="s">
        <v>176</v>
      </c>
      <c r="C12" s="148" t="s">
        <v>330</v>
      </c>
      <c r="D12" s="149">
        <v>551</v>
      </c>
      <c r="E12" s="149" t="s">
        <v>184</v>
      </c>
      <c r="F12" s="150">
        <v>1.475717E-2</v>
      </c>
      <c r="G12" s="156">
        <v>1376</v>
      </c>
      <c r="H12" s="149" t="s">
        <v>184</v>
      </c>
      <c r="I12" s="150">
        <v>3.534545E-2</v>
      </c>
      <c r="J12" s="156">
        <v>1649</v>
      </c>
      <c r="K12" s="149" t="s">
        <v>184</v>
      </c>
      <c r="L12" s="150">
        <v>4.2305889999999999E-2</v>
      </c>
    </row>
    <row r="13" spans="1:12" ht="16.149999999999999" customHeight="1" x14ac:dyDescent="0.25">
      <c r="A13" s="148" t="s">
        <v>176</v>
      </c>
      <c r="B13" s="148" t="s">
        <v>176</v>
      </c>
      <c r="C13" s="148" t="s">
        <v>331</v>
      </c>
      <c r="D13" s="155">
        <v>1549</v>
      </c>
      <c r="E13" s="149" t="s">
        <v>184</v>
      </c>
      <c r="F13" s="150">
        <v>4.4260330000000001E-2</v>
      </c>
      <c r="G13" s="156">
        <v>8172</v>
      </c>
      <c r="H13" s="149" t="s">
        <v>184</v>
      </c>
      <c r="I13" s="150">
        <v>0.22332511999999999</v>
      </c>
      <c r="J13" s="156">
        <v>7464</v>
      </c>
      <c r="K13" s="149" t="s">
        <v>184</v>
      </c>
      <c r="L13" s="150">
        <v>0.20184856000000001</v>
      </c>
    </row>
    <row r="14" spans="1:12" ht="16.149999999999999" customHeight="1" x14ac:dyDescent="0.25">
      <c r="A14" s="148" t="s">
        <v>176</v>
      </c>
      <c r="B14" s="148" t="s">
        <v>176</v>
      </c>
      <c r="C14" s="148" t="s">
        <v>332</v>
      </c>
      <c r="D14" s="149">
        <v>89</v>
      </c>
      <c r="E14" s="149" t="s">
        <v>184</v>
      </c>
      <c r="F14" s="150">
        <v>2.4434499999999998E-3</v>
      </c>
      <c r="G14" s="151">
        <v>708</v>
      </c>
      <c r="H14" s="149" t="s">
        <v>184</v>
      </c>
      <c r="I14" s="150">
        <v>1.9747520000000001E-2</v>
      </c>
      <c r="J14" s="151">
        <v>457</v>
      </c>
      <c r="K14" s="149" t="s">
        <v>184</v>
      </c>
      <c r="L14" s="150">
        <v>1.258812E-2</v>
      </c>
    </row>
    <row r="15" spans="1:12" ht="16.149999999999999" customHeight="1" x14ac:dyDescent="0.25">
      <c r="A15" s="148" t="s">
        <v>176</v>
      </c>
      <c r="B15" s="213" t="s">
        <v>185</v>
      </c>
      <c r="C15" s="213"/>
      <c r="D15" s="159">
        <v>38653</v>
      </c>
      <c r="E15" s="154">
        <v>1</v>
      </c>
      <c r="F15" s="154">
        <v>1</v>
      </c>
      <c r="G15" s="160">
        <v>39742</v>
      </c>
      <c r="H15" s="154">
        <v>1</v>
      </c>
      <c r="I15" s="154">
        <v>1</v>
      </c>
      <c r="J15" s="160">
        <v>39786</v>
      </c>
      <c r="K15" s="154">
        <v>1</v>
      </c>
      <c r="L15" s="154">
        <v>1</v>
      </c>
    </row>
    <row r="17" spans="1:12" ht="16.149999999999999" customHeight="1" x14ac:dyDescent="0.25">
      <c r="A17" s="208" t="s">
        <v>333</v>
      </c>
      <c r="B17" s="208"/>
      <c r="C17" s="208"/>
      <c r="D17" s="210">
        <v>2020</v>
      </c>
      <c r="E17" s="210"/>
      <c r="F17" s="210"/>
      <c r="G17" s="211">
        <v>2019</v>
      </c>
      <c r="H17" s="211"/>
    </row>
    <row r="18" spans="1:12" ht="16.149999999999999" customHeight="1" x14ac:dyDescent="0.25">
      <c r="A18" s="209"/>
      <c r="B18" s="209"/>
      <c r="C18" s="209"/>
      <c r="D18" s="221" t="s">
        <v>174</v>
      </c>
      <c r="E18" s="221"/>
      <c r="F18" s="146" t="s">
        <v>175</v>
      </c>
      <c r="G18" s="147" t="s">
        <v>174</v>
      </c>
      <c r="H18" s="146" t="s">
        <v>175</v>
      </c>
    </row>
    <row r="19" spans="1:12" ht="16.149999999999999" customHeight="1" x14ac:dyDescent="0.25">
      <c r="A19" s="148" t="s">
        <v>176</v>
      </c>
      <c r="B19" s="225" t="s">
        <v>334</v>
      </c>
      <c r="C19" s="225"/>
      <c r="D19" s="226">
        <v>18565</v>
      </c>
      <c r="E19" s="227"/>
      <c r="F19" s="150">
        <v>0.47808972999999999</v>
      </c>
      <c r="G19" s="156">
        <v>18531</v>
      </c>
      <c r="H19" s="150">
        <v>0.45966612000000001</v>
      </c>
    </row>
    <row r="20" spans="1:12" ht="31.9" customHeight="1" x14ac:dyDescent="0.25">
      <c r="A20" s="148" t="s">
        <v>176</v>
      </c>
      <c r="B20" s="225" t="s">
        <v>335</v>
      </c>
      <c r="C20" s="225"/>
      <c r="D20" s="226">
        <v>6598</v>
      </c>
      <c r="E20" s="227"/>
      <c r="F20" s="150">
        <v>0.16671354999999999</v>
      </c>
      <c r="G20" s="156">
        <v>9861</v>
      </c>
      <c r="H20" s="150">
        <v>0.24380466000000001</v>
      </c>
    </row>
    <row r="21" spans="1:12" ht="31.9" customHeight="1" x14ac:dyDescent="0.25">
      <c r="A21" s="148" t="s">
        <v>176</v>
      </c>
      <c r="B21" s="225" t="s">
        <v>336</v>
      </c>
      <c r="C21" s="225"/>
      <c r="D21" s="226">
        <v>2911</v>
      </c>
      <c r="E21" s="227"/>
      <c r="F21" s="150">
        <v>7.8327049999999995E-2</v>
      </c>
      <c r="G21" s="156">
        <v>3476</v>
      </c>
      <c r="H21" s="150">
        <v>9.1492019999999993E-2</v>
      </c>
    </row>
    <row r="22" spans="1:12" ht="31.9" customHeight="1" x14ac:dyDescent="0.25">
      <c r="A22" s="148" t="s">
        <v>176</v>
      </c>
      <c r="B22" s="225" t="s">
        <v>337</v>
      </c>
      <c r="C22" s="225"/>
      <c r="D22" s="227">
        <v>725</v>
      </c>
      <c r="E22" s="227"/>
      <c r="F22" s="150">
        <v>1.8275300000000001E-2</v>
      </c>
      <c r="G22" s="151">
        <v>817</v>
      </c>
      <c r="H22" s="150">
        <v>2.0016599999999999E-2</v>
      </c>
    </row>
    <row r="23" spans="1:12" ht="16.149999999999999" customHeight="1" x14ac:dyDescent="0.25">
      <c r="A23" s="148" t="s">
        <v>176</v>
      </c>
      <c r="B23" s="225" t="s">
        <v>338</v>
      </c>
      <c r="C23" s="225"/>
      <c r="D23" s="227">
        <v>198</v>
      </c>
      <c r="E23" s="227"/>
      <c r="F23" s="150">
        <v>5.0843800000000003E-3</v>
      </c>
      <c r="G23" s="151">
        <v>185</v>
      </c>
      <c r="H23" s="150">
        <v>4.4607400000000004E-3</v>
      </c>
    </row>
    <row r="24" spans="1:12" ht="16.149999999999999" customHeight="1" x14ac:dyDescent="0.25">
      <c r="A24" s="148" t="s">
        <v>176</v>
      </c>
      <c r="B24" s="225" t="s">
        <v>339</v>
      </c>
      <c r="C24" s="225"/>
      <c r="D24" s="226">
        <v>16245</v>
      </c>
      <c r="E24" s="227"/>
      <c r="F24" s="150">
        <v>0.42727776000000001</v>
      </c>
      <c r="G24" s="156">
        <v>15519</v>
      </c>
      <c r="H24" s="150">
        <v>0.39973410999999998</v>
      </c>
    </row>
    <row r="25" spans="1:12" ht="16.149999999999999" customHeight="1" x14ac:dyDescent="0.25">
      <c r="A25" s="148" t="s">
        <v>176</v>
      </c>
      <c r="B25" s="213" t="s">
        <v>211</v>
      </c>
      <c r="C25" s="213"/>
      <c r="D25" s="228">
        <v>38422</v>
      </c>
      <c r="E25" s="229"/>
      <c r="F25" s="153" t="s">
        <v>184</v>
      </c>
      <c r="G25" s="160">
        <v>39502</v>
      </c>
      <c r="H25" s="153" t="s">
        <v>184</v>
      </c>
    </row>
    <row r="26" spans="1:12" ht="16.149999999999999" customHeight="1" x14ac:dyDescent="0.2">
      <c r="A26" s="230" t="s">
        <v>340</v>
      </c>
      <c r="B26" s="230"/>
      <c r="C26" s="230"/>
      <c r="D26" s="230"/>
      <c r="E26" s="230"/>
      <c r="F26" s="230"/>
      <c r="G26" s="230"/>
      <c r="H26" s="230"/>
    </row>
    <row r="28" spans="1:12" ht="16.149999999999999" customHeight="1" x14ac:dyDescent="0.25">
      <c r="A28" s="208" t="s">
        <v>341</v>
      </c>
      <c r="B28" s="208"/>
      <c r="C28" s="208"/>
      <c r="D28" s="210">
        <v>2020</v>
      </c>
      <c r="E28" s="210"/>
      <c r="F28" s="210"/>
      <c r="G28" s="211">
        <v>2019</v>
      </c>
      <c r="H28" s="211"/>
      <c r="I28" s="211"/>
      <c r="J28" s="211">
        <v>2018</v>
      </c>
      <c r="K28" s="211"/>
      <c r="L28" s="211"/>
    </row>
    <row r="29" spans="1:12" ht="16.899999999999999" customHeight="1" x14ac:dyDescent="0.2">
      <c r="A29" s="209"/>
      <c r="B29" s="209"/>
      <c r="C29" s="209"/>
      <c r="D29" s="221" t="s">
        <v>174</v>
      </c>
      <c r="E29" s="221" t="s">
        <v>323</v>
      </c>
      <c r="F29" s="221" t="s">
        <v>324</v>
      </c>
      <c r="G29" s="223" t="s">
        <v>174</v>
      </c>
      <c r="H29" s="221" t="s">
        <v>323</v>
      </c>
      <c r="I29" s="221" t="s">
        <v>324</v>
      </c>
      <c r="J29" s="223" t="s">
        <v>174</v>
      </c>
      <c r="K29" s="221" t="s">
        <v>323</v>
      </c>
      <c r="L29" s="221" t="s">
        <v>324</v>
      </c>
    </row>
    <row r="30" spans="1:12" ht="12" customHeight="1" x14ac:dyDescent="0.2">
      <c r="A30" s="209"/>
      <c r="B30" s="209"/>
      <c r="C30" s="209"/>
      <c r="D30" s="222"/>
      <c r="E30" s="222"/>
      <c r="F30" s="222"/>
      <c r="G30" s="224"/>
      <c r="H30" s="222"/>
      <c r="I30" s="222"/>
      <c r="J30" s="224"/>
      <c r="K30" s="222"/>
      <c r="L30" s="222"/>
    </row>
    <row r="31" spans="1:12" ht="16.149999999999999" customHeight="1" x14ac:dyDescent="0.25">
      <c r="A31" s="148" t="s">
        <v>176</v>
      </c>
      <c r="B31" s="148" t="s">
        <v>176</v>
      </c>
      <c r="C31" s="178" t="s">
        <v>325</v>
      </c>
      <c r="D31" s="182">
        <v>15742</v>
      </c>
      <c r="E31" s="180">
        <v>0.57373344999999998</v>
      </c>
      <c r="F31" s="150">
        <v>0.40292243999999999</v>
      </c>
      <c r="G31" s="183">
        <v>13334</v>
      </c>
      <c r="H31" s="180">
        <v>0.45560824999999999</v>
      </c>
      <c r="I31" s="150">
        <v>0.32920863</v>
      </c>
      <c r="J31" s="183">
        <v>14242</v>
      </c>
      <c r="K31" s="180">
        <v>0.46608580999999999</v>
      </c>
      <c r="L31" s="150">
        <v>0.34759697000000001</v>
      </c>
    </row>
    <row r="32" spans="1:12" ht="16.149999999999999" customHeight="1" x14ac:dyDescent="0.25">
      <c r="A32" s="148" t="s">
        <v>176</v>
      </c>
      <c r="B32" s="148" t="s">
        <v>176</v>
      </c>
      <c r="C32" s="178" t="s">
        <v>326</v>
      </c>
      <c r="D32" s="182">
        <v>7965</v>
      </c>
      <c r="E32" s="180">
        <v>0.29617729999999998</v>
      </c>
      <c r="F32" s="150">
        <v>0.20799987</v>
      </c>
      <c r="G32" s="183">
        <v>10009</v>
      </c>
      <c r="H32" s="180">
        <v>0.34640360999999997</v>
      </c>
      <c r="I32" s="150">
        <v>0.25030068999999999</v>
      </c>
      <c r="J32" s="183">
        <v>10350</v>
      </c>
      <c r="K32" s="180">
        <v>0.34112907999999997</v>
      </c>
      <c r="L32" s="150">
        <v>0.25440688</v>
      </c>
    </row>
    <row r="33" spans="1:12" ht="16.149999999999999" customHeight="1" x14ac:dyDescent="0.25">
      <c r="A33" s="148" t="s">
        <v>176</v>
      </c>
      <c r="B33" s="148" t="s">
        <v>176</v>
      </c>
      <c r="C33" s="178" t="s">
        <v>327</v>
      </c>
      <c r="D33" s="182">
        <v>2559</v>
      </c>
      <c r="E33" s="180">
        <v>9.9063330000000005E-2</v>
      </c>
      <c r="F33" s="150">
        <v>6.9570350000000003E-2</v>
      </c>
      <c r="G33" s="183">
        <v>3967</v>
      </c>
      <c r="H33" s="180">
        <v>0.14268449</v>
      </c>
      <c r="I33" s="150">
        <v>0.10309947</v>
      </c>
      <c r="J33" s="183">
        <v>3952</v>
      </c>
      <c r="K33" s="180">
        <v>0.13458665</v>
      </c>
      <c r="L33" s="150">
        <v>0.10037189000000001</v>
      </c>
    </row>
    <row r="34" spans="1:12" ht="16.149999999999999" customHeight="1" x14ac:dyDescent="0.25">
      <c r="A34" s="148" t="s">
        <v>176</v>
      </c>
      <c r="B34" s="148" t="s">
        <v>176</v>
      </c>
      <c r="C34" s="178" t="s">
        <v>328</v>
      </c>
      <c r="D34" s="179">
        <v>523</v>
      </c>
      <c r="E34" s="180">
        <v>1.9760400000000001E-2</v>
      </c>
      <c r="F34" s="150">
        <v>1.387737E-2</v>
      </c>
      <c r="G34" s="181">
        <v>850</v>
      </c>
      <c r="H34" s="180">
        <v>3.0668290000000001E-2</v>
      </c>
      <c r="I34" s="150">
        <v>2.2159970000000001E-2</v>
      </c>
      <c r="J34" s="181">
        <v>881</v>
      </c>
      <c r="K34" s="180">
        <v>3.0217549999999999E-2</v>
      </c>
      <c r="L34" s="150">
        <v>2.2535610000000001E-2</v>
      </c>
    </row>
    <row r="35" spans="1:12" ht="16.149999999999999" customHeight="1" x14ac:dyDescent="0.25">
      <c r="A35" s="148" t="s">
        <v>176</v>
      </c>
      <c r="B35" s="148" t="s">
        <v>176</v>
      </c>
      <c r="C35" s="178" t="s">
        <v>329</v>
      </c>
      <c r="D35" s="179">
        <v>287</v>
      </c>
      <c r="E35" s="180">
        <v>1.1265519999999999E-2</v>
      </c>
      <c r="F35" s="150">
        <v>7.9115699999999997E-3</v>
      </c>
      <c r="G35" s="181">
        <v>661</v>
      </c>
      <c r="H35" s="180">
        <v>2.463535E-2</v>
      </c>
      <c r="I35" s="150">
        <v>1.7800750000000001E-2</v>
      </c>
      <c r="J35" s="181">
        <v>799</v>
      </c>
      <c r="K35" s="180">
        <v>2.7980910000000001E-2</v>
      </c>
      <c r="L35" s="150">
        <v>2.086758E-2</v>
      </c>
    </row>
    <row r="36" spans="1:12" ht="16.149999999999999" customHeight="1" x14ac:dyDescent="0.25">
      <c r="A36" s="148" t="s">
        <v>176</v>
      </c>
      <c r="B36" s="212" t="s">
        <v>182</v>
      </c>
      <c r="C36" s="212"/>
      <c r="D36" s="157">
        <v>27076</v>
      </c>
      <c r="E36" s="152">
        <v>1</v>
      </c>
      <c r="F36" s="152">
        <v>0.70228159000000001</v>
      </c>
      <c r="G36" s="158">
        <v>28821</v>
      </c>
      <c r="H36" s="152">
        <v>1</v>
      </c>
      <c r="I36" s="152">
        <v>0.72256951999999997</v>
      </c>
      <c r="J36" s="158">
        <v>30224</v>
      </c>
      <c r="K36" s="152">
        <v>1</v>
      </c>
      <c r="L36" s="152">
        <v>0.74577892999999995</v>
      </c>
    </row>
    <row r="37" spans="1:12" ht="16.149999999999999" customHeight="1" x14ac:dyDescent="0.25">
      <c r="A37" s="148" t="s">
        <v>176</v>
      </c>
      <c r="B37" s="148" t="s">
        <v>176</v>
      </c>
      <c r="C37" s="148" t="s">
        <v>342</v>
      </c>
      <c r="D37" s="155">
        <v>8173</v>
      </c>
      <c r="E37" s="149" t="s">
        <v>184</v>
      </c>
      <c r="F37" s="150">
        <v>0.21282208999999999</v>
      </c>
      <c r="G37" s="156">
        <v>6908</v>
      </c>
      <c r="H37" s="149" t="s">
        <v>184</v>
      </c>
      <c r="I37" s="150">
        <v>0.17641655000000001</v>
      </c>
      <c r="J37" s="156">
        <v>6307</v>
      </c>
      <c r="K37" s="149" t="s">
        <v>184</v>
      </c>
      <c r="L37" s="150">
        <v>0.16086392999999999</v>
      </c>
    </row>
    <row r="38" spans="1:12" ht="16.149999999999999" customHeight="1" x14ac:dyDescent="0.25">
      <c r="A38" s="148" t="s">
        <v>176</v>
      </c>
      <c r="B38" s="148" t="s">
        <v>176</v>
      </c>
      <c r="C38" s="148" t="s">
        <v>343</v>
      </c>
      <c r="D38" s="155">
        <v>2603</v>
      </c>
      <c r="E38" s="149" t="s">
        <v>184</v>
      </c>
      <c r="F38" s="150">
        <v>6.9443489999999997E-2</v>
      </c>
      <c r="G38" s="156">
        <v>3129</v>
      </c>
      <c r="H38" s="149" t="s">
        <v>184</v>
      </c>
      <c r="I38" s="150">
        <v>8.1779589999999999E-2</v>
      </c>
      <c r="J38" s="156">
        <v>3285</v>
      </c>
      <c r="K38" s="149" t="s">
        <v>184</v>
      </c>
      <c r="L38" s="150">
        <v>8.1918039999999998E-2</v>
      </c>
    </row>
    <row r="39" spans="1:12" ht="16.149999999999999" customHeight="1" x14ac:dyDescent="0.25">
      <c r="A39" s="148" t="s">
        <v>176</v>
      </c>
      <c r="B39" s="148" t="s">
        <v>176</v>
      </c>
      <c r="C39" s="148" t="s">
        <v>344</v>
      </c>
      <c r="D39" s="149">
        <v>557</v>
      </c>
      <c r="E39" s="149" t="s">
        <v>184</v>
      </c>
      <c r="F39" s="150">
        <v>1.5452830000000001E-2</v>
      </c>
      <c r="G39" s="151">
        <v>716</v>
      </c>
      <c r="H39" s="149" t="s">
        <v>184</v>
      </c>
      <c r="I39" s="150">
        <v>1.9234339999999999E-2</v>
      </c>
      <c r="J39" s="151">
        <v>450</v>
      </c>
      <c r="K39" s="149" t="s">
        <v>184</v>
      </c>
      <c r="L39" s="150">
        <v>1.1439100000000001E-2</v>
      </c>
    </row>
    <row r="40" spans="1:12" ht="16.149999999999999" customHeight="1" x14ac:dyDescent="0.25">
      <c r="A40" s="148" t="s">
        <v>176</v>
      </c>
      <c r="B40" s="213" t="s">
        <v>185</v>
      </c>
      <c r="C40" s="213"/>
      <c r="D40" s="159">
        <v>38409</v>
      </c>
      <c r="E40" s="154">
        <v>1</v>
      </c>
      <c r="F40" s="154">
        <v>1</v>
      </c>
      <c r="G40" s="160">
        <v>39574</v>
      </c>
      <c r="H40" s="154">
        <v>1</v>
      </c>
      <c r="I40" s="154">
        <v>1</v>
      </c>
      <c r="J40" s="160">
        <v>40266</v>
      </c>
      <c r="K40" s="154">
        <v>1</v>
      </c>
      <c r="L40" s="154">
        <v>1</v>
      </c>
    </row>
    <row r="42" spans="1:12" ht="16.149999999999999" customHeight="1" x14ac:dyDescent="0.25">
      <c r="A42" s="208" t="s">
        <v>345</v>
      </c>
      <c r="B42" s="208"/>
      <c r="C42" s="208"/>
      <c r="D42" s="210">
        <v>2020</v>
      </c>
      <c r="E42" s="210"/>
      <c r="F42" s="210"/>
      <c r="G42" s="211">
        <v>2019</v>
      </c>
      <c r="H42" s="211"/>
      <c r="I42" s="211"/>
      <c r="J42" s="211">
        <v>2018</v>
      </c>
      <c r="K42" s="211"/>
      <c r="L42" s="211"/>
    </row>
    <row r="43" spans="1:12" ht="16.899999999999999" customHeight="1" x14ac:dyDescent="0.2">
      <c r="A43" s="209"/>
      <c r="B43" s="209"/>
      <c r="C43" s="209"/>
      <c r="D43" s="221" t="s">
        <v>174</v>
      </c>
      <c r="E43" s="221" t="s">
        <v>323</v>
      </c>
      <c r="F43" s="221" t="s">
        <v>324</v>
      </c>
      <c r="G43" s="223" t="s">
        <v>174</v>
      </c>
      <c r="H43" s="221" t="s">
        <v>323</v>
      </c>
      <c r="I43" s="221" t="s">
        <v>324</v>
      </c>
      <c r="J43" s="223" t="s">
        <v>174</v>
      </c>
      <c r="K43" s="221" t="s">
        <v>323</v>
      </c>
      <c r="L43" s="221" t="s">
        <v>324</v>
      </c>
    </row>
    <row r="44" spans="1:12" ht="12" customHeight="1" x14ac:dyDescent="0.2">
      <c r="A44" s="209"/>
      <c r="B44" s="209"/>
      <c r="C44" s="209"/>
      <c r="D44" s="222"/>
      <c r="E44" s="222"/>
      <c r="F44" s="222"/>
      <c r="G44" s="224"/>
      <c r="H44" s="222"/>
      <c r="I44" s="222"/>
      <c r="J44" s="224"/>
      <c r="K44" s="222"/>
      <c r="L44" s="222"/>
    </row>
    <row r="45" spans="1:12" ht="16.149999999999999" customHeight="1" x14ac:dyDescent="0.25">
      <c r="A45" s="148" t="s">
        <v>176</v>
      </c>
      <c r="B45" s="148" t="s">
        <v>176</v>
      </c>
      <c r="C45" s="178" t="s">
        <v>325</v>
      </c>
      <c r="D45" s="182">
        <v>7046</v>
      </c>
      <c r="E45" s="180">
        <v>0.28949282999999998</v>
      </c>
      <c r="F45" s="150">
        <v>0.17919388</v>
      </c>
      <c r="G45" s="183">
        <v>6656</v>
      </c>
      <c r="H45" s="180">
        <v>0.24419092000000001</v>
      </c>
      <c r="I45" s="150">
        <v>0.16390398</v>
      </c>
      <c r="J45" s="183">
        <v>8702</v>
      </c>
      <c r="K45" s="180">
        <v>0.25741734999999999</v>
      </c>
      <c r="L45" s="150">
        <v>0.20728237999999999</v>
      </c>
    </row>
    <row r="46" spans="1:12" ht="16.149999999999999" customHeight="1" x14ac:dyDescent="0.25">
      <c r="A46" s="148" t="s">
        <v>176</v>
      </c>
      <c r="B46" s="148" t="s">
        <v>176</v>
      </c>
      <c r="C46" s="178" t="s">
        <v>326</v>
      </c>
      <c r="D46" s="182">
        <v>9685</v>
      </c>
      <c r="E46" s="180">
        <v>0.40940488000000003</v>
      </c>
      <c r="F46" s="150">
        <v>0.25341851999999998</v>
      </c>
      <c r="G46" s="183">
        <v>11736</v>
      </c>
      <c r="H46" s="180">
        <v>0.44295434</v>
      </c>
      <c r="I46" s="150">
        <v>0.29731646</v>
      </c>
      <c r="J46" s="183">
        <v>14576</v>
      </c>
      <c r="K46" s="180">
        <v>0.44576876999999998</v>
      </c>
      <c r="L46" s="150">
        <v>0.35895021999999999</v>
      </c>
    </row>
    <row r="47" spans="1:12" ht="16.149999999999999" customHeight="1" x14ac:dyDescent="0.25">
      <c r="A47" s="148" t="s">
        <v>176</v>
      </c>
      <c r="B47" s="148" t="s">
        <v>176</v>
      </c>
      <c r="C47" s="178" t="s">
        <v>327</v>
      </c>
      <c r="D47" s="182">
        <v>5512</v>
      </c>
      <c r="E47" s="180">
        <v>0.23994123000000001</v>
      </c>
      <c r="F47" s="150">
        <v>0.14852180000000001</v>
      </c>
      <c r="G47" s="183">
        <v>6570</v>
      </c>
      <c r="H47" s="180">
        <v>0.25474392000000001</v>
      </c>
      <c r="I47" s="150">
        <v>0.17098728999999999</v>
      </c>
      <c r="J47" s="183">
        <v>7022</v>
      </c>
      <c r="K47" s="180">
        <v>0.21809951</v>
      </c>
      <c r="L47" s="150">
        <v>0.17562214000000001</v>
      </c>
    </row>
    <row r="48" spans="1:12" ht="16.149999999999999" customHeight="1" x14ac:dyDescent="0.25">
      <c r="A48" s="148" t="s">
        <v>176</v>
      </c>
      <c r="B48" s="148" t="s">
        <v>176</v>
      </c>
      <c r="C48" s="178" t="s">
        <v>328</v>
      </c>
      <c r="D48" s="179">
        <v>969</v>
      </c>
      <c r="E48" s="180">
        <v>4.2343310000000002E-2</v>
      </c>
      <c r="F48" s="150">
        <v>2.6210190000000001E-2</v>
      </c>
      <c r="G48" s="181">
        <v>953</v>
      </c>
      <c r="H48" s="180">
        <v>3.6763999999999998E-2</v>
      </c>
      <c r="I48" s="150">
        <v>2.4676449999999999E-2</v>
      </c>
      <c r="J48" s="183">
        <v>1597</v>
      </c>
      <c r="K48" s="180">
        <v>5.0302230000000003E-2</v>
      </c>
      <c r="L48" s="150">
        <v>4.0505300000000001E-2</v>
      </c>
    </row>
    <row r="49" spans="1:12" ht="16.149999999999999" customHeight="1" x14ac:dyDescent="0.25">
      <c r="A49" s="148" t="s">
        <v>176</v>
      </c>
      <c r="B49" s="148" t="s">
        <v>176</v>
      </c>
      <c r="C49" s="178" t="s">
        <v>329</v>
      </c>
      <c r="D49" s="179">
        <v>422</v>
      </c>
      <c r="E49" s="180">
        <v>1.8817750000000001E-2</v>
      </c>
      <c r="F49" s="150">
        <v>1.164805E-2</v>
      </c>
      <c r="G49" s="181">
        <v>534</v>
      </c>
      <c r="H49" s="180">
        <v>2.1346819999999999E-2</v>
      </c>
      <c r="I49" s="150">
        <v>1.4328250000000001E-2</v>
      </c>
      <c r="J49" s="181">
        <v>868</v>
      </c>
      <c r="K49" s="180">
        <v>2.8412139999999999E-2</v>
      </c>
      <c r="L49" s="150">
        <v>2.2878550000000001E-2</v>
      </c>
    </row>
    <row r="50" spans="1:12" ht="16.149999999999999" customHeight="1" x14ac:dyDescent="0.25">
      <c r="A50" s="148" t="s">
        <v>176</v>
      </c>
      <c r="B50" s="212" t="s">
        <v>182</v>
      </c>
      <c r="C50" s="212"/>
      <c r="D50" s="157">
        <v>23634</v>
      </c>
      <c r="E50" s="152">
        <v>1</v>
      </c>
      <c r="F50" s="152">
        <v>0.61899243999999998</v>
      </c>
      <c r="G50" s="158">
        <v>26449</v>
      </c>
      <c r="H50" s="152">
        <v>1</v>
      </c>
      <c r="I50" s="152">
        <v>0.67121242999999997</v>
      </c>
      <c r="J50" s="158">
        <v>32765</v>
      </c>
      <c r="K50" s="152">
        <v>1</v>
      </c>
      <c r="L50" s="152">
        <v>0.80523858999999998</v>
      </c>
    </row>
    <row r="51" spans="1:12" ht="16.149999999999999" customHeight="1" x14ac:dyDescent="0.25">
      <c r="A51" s="148" t="s">
        <v>176</v>
      </c>
      <c r="B51" s="148" t="s">
        <v>176</v>
      </c>
      <c r="C51" s="148" t="s">
        <v>342</v>
      </c>
      <c r="D51" s="155">
        <v>10146</v>
      </c>
      <c r="E51" s="149" t="s">
        <v>184</v>
      </c>
      <c r="F51" s="150">
        <v>0.26308966</v>
      </c>
      <c r="G51" s="156">
        <v>8539</v>
      </c>
      <c r="H51" s="149" t="s">
        <v>184</v>
      </c>
      <c r="I51" s="150">
        <v>0.21441737</v>
      </c>
      <c r="J51" s="156">
        <v>4200</v>
      </c>
      <c r="K51" s="149" t="s">
        <v>184</v>
      </c>
      <c r="L51" s="150">
        <v>0.1027999</v>
      </c>
    </row>
    <row r="52" spans="1:12" ht="16.149999999999999" customHeight="1" x14ac:dyDescent="0.25">
      <c r="A52" s="148" t="s">
        <v>176</v>
      </c>
      <c r="B52" s="148" t="s">
        <v>176</v>
      </c>
      <c r="C52" s="148" t="s">
        <v>343</v>
      </c>
      <c r="D52" s="155">
        <v>2250</v>
      </c>
      <c r="E52" s="149" t="s">
        <v>184</v>
      </c>
      <c r="F52" s="150">
        <v>5.922695E-2</v>
      </c>
      <c r="G52" s="156">
        <v>2106</v>
      </c>
      <c r="H52" s="149" t="s">
        <v>184</v>
      </c>
      <c r="I52" s="150">
        <v>5.3714339999999999E-2</v>
      </c>
      <c r="J52" s="156">
        <v>2153</v>
      </c>
      <c r="K52" s="149" t="s">
        <v>184</v>
      </c>
      <c r="L52" s="150">
        <v>5.3611489999999998E-2</v>
      </c>
    </row>
    <row r="53" spans="1:12" ht="16.149999999999999" customHeight="1" x14ac:dyDescent="0.25">
      <c r="A53" s="148" t="s">
        <v>176</v>
      </c>
      <c r="B53" s="148" t="s">
        <v>176</v>
      </c>
      <c r="C53" s="148" t="s">
        <v>344</v>
      </c>
      <c r="D53" s="155">
        <v>2144</v>
      </c>
      <c r="E53" s="149" t="s">
        <v>184</v>
      </c>
      <c r="F53" s="150">
        <v>5.8690949999999999E-2</v>
      </c>
      <c r="G53" s="156">
        <v>2283</v>
      </c>
      <c r="H53" s="149" t="s">
        <v>184</v>
      </c>
      <c r="I53" s="150">
        <v>6.0655859999999999E-2</v>
      </c>
      <c r="J53" s="156">
        <v>1525</v>
      </c>
      <c r="K53" s="149" t="s">
        <v>184</v>
      </c>
      <c r="L53" s="150">
        <v>3.8350019999999999E-2</v>
      </c>
    </row>
    <row r="54" spans="1:12" ht="16.149999999999999" customHeight="1" x14ac:dyDescent="0.25">
      <c r="A54" s="148" t="s">
        <v>176</v>
      </c>
      <c r="B54" s="213" t="s">
        <v>185</v>
      </c>
      <c r="C54" s="213"/>
      <c r="D54" s="159">
        <v>38174</v>
      </c>
      <c r="E54" s="154">
        <v>1</v>
      </c>
      <c r="F54" s="154">
        <v>1</v>
      </c>
      <c r="G54" s="160">
        <v>39377</v>
      </c>
      <c r="H54" s="154">
        <v>1</v>
      </c>
      <c r="I54" s="154">
        <v>1</v>
      </c>
      <c r="J54" s="160">
        <v>40643</v>
      </c>
      <c r="K54" s="154">
        <v>1</v>
      </c>
      <c r="L54" s="154">
        <v>1</v>
      </c>
    </row>
    <row r="56" spans="1:12" ht="16.149999999999999" customHeight="1" x14ac:dyDescent="0.25">
      <c r="A56" s="208" t="s">
        <v>346</v>
      </c>
      <c r="B56" s="208"/>
      <c r="C56" s="208"/>
      <c r="D56" s="210">
        <v>2020</v>
      </c>
      <c r="E56" s="210"/>
      <c r="F56" s="210"/>
      <c r="G56" s="211">
        <v>2019</v>
      </c>
      <c r="H56" s="211"/>
      <c r="I56" s="211"/>
      <c r="J56" s="211">
        <v>2018</v>
      </c>
      <c r="K56" s="211"/>
      <c r="L56" s="211"/>
    </row>
    <row r="57" spans="1:12" ht="16.899999999999999" customHeight="1" x14ac:dyDescent="0.2">
      <c r="A57" s="209"/>
      <c r="B57" s="209"/>
      <c r="C57" s="209"/>
      <c r="D57" s="221" t="s">
        <v>174</v>
      </c>
      <c r="E57" s="221" t="s">
        <v>323</v>
      </c>
      <c r="F57" s="221" t="s">
        <v>324</v>
      </c>
      <c r="G57" s="223" t="s">
        <v>174</v>
      </c>
      <c r="H57" s="221" t="s">
        <v>323</v>
      </c>
      <c r="I57" s="221" t="s">
        <v>324</v>
      </c>
      <c r="J57" s="223" t="s">
        <v>174</v>
      </c>
      <c r="K57" s="221" t="s">
        <v>323</v>
      </c>
      <c r="L57" s="221" t="s">
        <v>324</v>
      </c>
    </row>
    <row r="58" spans="1:12" ht="12" customHeight="1" x14ac:dyDescent="0.2">
      <c r="A58" s="209"/>
      <c r="B58" s="209"/>
      <c r="C58" s="209"/>
      <c r="D58" s="222"/>
      <c r="E58" s="222"/>
      <c r="F58" s="222"/>
      <c r="G58" s="224"/>
      <c r="H58" s="222"/>
      <c r="I58" s="222"/>
      <c r="J58" s="224"/>
      <c r="K58" s="222"/>
      <c r="L58" s="222"/>
    </row>
    <row r="59" spans="1:12" ht="16.149999999999999" customHeight="1" x14ac:dyDescent="0.25">
      <c r="A59" s="148" t="s">
        <v>176</v>
      </c>
      <c r="B59" s="148" t="s">
        <v>176</v>
      </c>
      <c r="C59" s="178" t="s">
        <v>325</v>
      </c>
      <c r="D59" s="182">
        <v>4696</v>
      </c>
      <c r="E59" s="180">
        <v>0.25492461</v>
      </c>
      <c r="F59" s="150">
        <v>0.12282493999999999</v>
      </c>
      <c r="G59" s="183">
        <v>3603</v>
      </c>
      <c r="H59" s="180">
        <v>0.17762828999999999</v>
      </c>
      <c r="I59" s="150">
        <v>9.1643870000000002E-2</v>
      </c>
      <c r="J59" s="183">
        <v>5695</v>
      </c>
      <c r="K59" s="180">
        <v>0.20770941000000001</v>
      </c>
      <c r="L59" s="150">
        <v>0.13826348999999999</v>
      </c>
    </row>
    <row r="60" spans="1:12" ht="16.149999999999999" customHeight="1" x14ac:dyDescent="0.25">
      <c r="A60" s="148" t="s">
        <v>176</v>
      </c>
      <c r="B60" s="148" t="s">
        <v>176</v>
      </c>
      <c r="C60" s="178" t="s">
        <v>326</v>
      </c>
      <c r="D60" s="182">
        <v>6274</v>
      </c>
      <c r="E60" s="180">
        <v>0.34819045999999998</v>
      </c>
      <c r="F60" s="150">
        <v>0.16776125</v>
      </c>
      <c r="G60" s="183">
        <v>6681</v>
      </c>
      <c r="H60" s="180">
        <v>0.33730619000000001</v>
      </c>
      <c r="I60" s="150">
        <v>0.17402659000000001</v>
      </c>
      <c r="J60" s="183">
        <v>9802</v>
      </c>
      <c r="K60" s="180">
        <v>0.36875324999999998</v>
      </c>
      <c r="L60" s="150">
        <v>0.24546366</v>
      </c>
    </row>
    <row r="61" spans="1:12" ht="16.149999999999999" customHeight="1" x14ac:dyDescent="0.25">
      <c r="A61" s="148" t="s">
        <v>176</v>
      </c>
      <c r="B61" s="148" t="s">
        <v>176</v>
      </c>
      <c r="C61" s="178" t="s">
        <v>327</v>
      </c>
      <c r="D61" s="182">
        <v>6384</v>
      </c>
      <c r="E61" s="180">
        <v>0.35409486000000001</v>
      </c>
      <c r="F61" s="150">
        <v>0.17060603999999999</v>
      </c>
      <c r="G61" s="183">
        <v>8710</v>
      </c>
      <c r="H61" s="180">
        <v>0.43704921000000002</v>
      </c>
      <c r="I61" s="150">
        <v>0.22548707000000001</v>
      </c>
      <c r="J61" s="183">
        <v>9954</v>
      </c>
      <c r="K61" s="180">
        <v>0.37312168000000001</v>
      </c>
      <c r="L61" s="150">
        <v>0.24837154</v>
      </c>
    </row>
    <row r="62" spans="1:12" ht="16.149999999999999" customHeight="1" x14ac:dyDescent="0.25">
      <c r="A62" s="148" t="s">
        <v>176</v>
      </c>
      <c r="B62" s="148" t="s">
        <v>176</v>
      </c>
      <c r="C62" s="178" t="s">
        <v>328</v>
      </c>
      <c r="D62" s="179">
        <v>467</v>
      </c>
      <c r="E62" s="180">
        <v>2.6675580000000001E-2</v>
      </c>
      <c r="F62" s="150">
        <v>1.2852529999999999E-2</v>
      </c>
      <c r="G62" s="181">
        <v>563</v>
      </c>
      <c r="H62" s="180">
        <v>2.9142930000000001E-2</v>
      </c>
      <c r="I62" s="150">
        <v>1.5035730000000001E-2</v>
      </c>
      <c r="J62" s="181">
        <v>748</v>
      </c>
      <c r="K62" s="180">
        <v>2.8995259999999998E-2</v>
      </c>
      <c r="L62" s="150">
        <v>1.9300939999999999E-2</v>
      </c>
    </row>
    <row r="63" spans="1:12" ht="16.149999999999999" customHeight="1" x14ac:dyDescent="0.25">
      <c r="A63" s="148" t="s">
        <v>176</v>
      </c>
      <c r="B63" s="148" t="s">
        <v>176</v>
      </c>
      <c r="C63" s="178" t="s">
        <v>329</v>
      </c>
      <c r="D63" s="179">
        <v>276</v>
      </c>
      <c r="E63" s="180">
        <v>1.611448E-2</v>
      </c>
      <c r="F63" s="150">
        <v>7.7641000000000003E-3</v>
      </c>
      <c r="G63" s="181">
        <v>360</v>
      </c>
      <c r="H63" s="180">
        <v>1.8873379999999999E-2</v>
      </c>
      <c r="I63" s="150">
        <v>9.7373500000000005E-3</v>
      </c>
      <c r="J63" s="181">
        <v>536</v>
      </c>
      <c r="K63" s="180">
        <v>2.1420399999999999E-2</v>
      </c>
      <c r="L63" s="150">
        <v>1.4258669999999999E-2</v>
      </c>
    </row>
    <row r="64" spans="1:12" ht="16.149999999999999" customHeight="1" x14ac:dyDescent="0.25">
      <c r="A64" s="148" t="s">
        <v>176</v>
      </c>
      <c r="B64" s="212" t="s">
        <v>182</v>
      </c>
      <c r="C64" s="212"/>
      <c r="D64" s="157">
        <v>18097</v>
      </c>
      <c r="E64" s="152">
        <v>1</v>
      </c>
      <c r="F64" s="152">
        <v>0.48180886000000001</v>
      </c>
      <c r="G64" s="158">
        <v>19917</v>
      </c>
      <c r="H64" s="152">
        <v>1</v>
      </c>
      <c r="I64" s="152">
        <v>0.51593062000000001</v>
      </c>
      <c r="J64" s="158">
        <v>26735</v>
      </c>
      <c r="K64" s="152">
        <v>1</v>
      </c>
      <c r="L64" s="152">
        <v>0.66565830000000004</v>
      </c>
    </row>
    <row r="65" spans="1:12" ht="16.149999999999999" customHeight="1" x14ac:dyDescent="0.25">
      <c r="A65" s="148" t="s">
        <v>176</v>
      </c>
      <c r="B65" s="148" t="s">
        <v>176</v>
      </c>
      <c r="C65" s="148" t="s">
        <v>342</v>
      </c>
      <c r="D65" s="155">
        <v>17681</v>
      </c>
      <c r="E65" s="149" t="s">
        <v>184</v>
      </c>
      <c r="F65" s="150">
        <v>0.45079016999999999</v>
      </c>
      <c r="G65" s="156">
        <v>15351</v>
      </c>
      <c r="H65" s="149" t="s">
        <v>184</v>
      </c>
      <c r="I65" s="150">
        <v>0.37907416999999999</v>
      </c>
      <c r="J65" s="156">
        <v>10049</v>
      </c>
      <c r="K65" s="149" t="s">
        <v>184</v>
      </c>
      <c r="L65" s="150">
        <v>0.23882448000000001</v>
      </c>
    </row>
    <row r="66" spans="1:12" ht="16.149999999999999" customHeight="1" x14ac:dyDescent="0.25">
      <c r="A66" s="148" t="s">
        <v>176</v>
      </c>
      <c r="B66" s="148" t="s">
        <v>176</v>
      </c>
      <c r="C66" s="148" t="s">
        <v>343</v>
      </c>
      <c r="D66" s="149">
        <v>458</v>
      </c>
      <c r="E66" s="149" t="s">
        <v>184</v>
      </c>
      <c r="F66" s="150">
        <v>1.270963E-2</v>
      </c>
      <c r="G66" s="151">
        <v>720</v>
      </c>
      <c r="H66" s="149" t="s">
        <v>184</v>
      </c>
      <c r="I66" s="150">
        <v>1.924493E-2</v>
      </c>
      <c r="J66" s="151">
        <v>628</v>
      </c>
      <c r="K66" s="149" t="s">
        <v>184</v>
      </c>
      <c r="L66" s="150">
        <v>1.6274429999999999E-2</v>
      </c>
    </row>
    <row r="67" spans="1:12" ht="16.149999999999999" customHeight="1" x14ac:dyDescent="0.25">
      <c r="A67" s="148" t="s">
        <v>176</v>
      </c>
      <c r="B67" s="148" t="s">
        <v>176</v>
      </c>
      <c r="C67" s="148" t="s">
        <v>344</v>
      </c>
      <c r="D67" s="155">
        <v>2035</v>
      </c>
      <c r="E67" s="149" t="s">
        <v>184</v>
      </c>
      <c r="F67" s="150">
        <v>5.469135E-2</v>
      </c>
      <c r="G67" s="156">
        <v>3283</v>
      </c>
      <c r="H67" s="149" t="s">
        <v>184</v>
      </c>
      <c r="I67" s="150">
        <v>8.5750279999999998E-2</v>
      </c>
      <c r="J67" s="156">
        <v>3209</v>
      </c>
      <c r="K67" s="149" t="s">
        <v>184</v>
      </c>
      <c r="L67" s="150">
        <v>7.9242789999999994E-2</v>
      </c>
    </row>
    <row r="68" spans="1:12" ht="16.149999999999999" customHeight="1" x14ac:dyDescent="0.25">
      <c r="A68" s="148" t="s">
        <v>176</v>
      </c>
      <c r="B68" s="213" t="s">
        <v>185</v>
      </c>
      <c r="C68" s="213"/>
      <c r="D68" s="159">
        <v>38271</v>
      </c>
      <c r="E68" s="154">
        <v>1</v>
      </c>
      <c r="F68" s="154">
        <v>1</v>
      </c>
      <c r="G68" s="160">
        <v>39271</v>
      </c>
      <c r="H68" s="154">
        <v>1</v>
      </c>
      <c r="I68" s="154">
        <v>1</v>
      </c>
      <c r="J68" s="160">
        <v>40621</v>
      </c>
      <c r="K68" s="154">
        <v>1</v>
      </c>
      <c r="L68" s="154">
        <v>1</v>
      </c>
    </row>
    <row r="70" spans="1:12" ht="16.149999999999999" customHeight="1" x14ac:dyDescent="0.25">
      <c r="A70" s="208" t="s">
        <v>347</v>
      </c>
      <c r="B70" s="208"/>
      <c r="C70" s="208"/>
      <c r="D70" s="210">
        <v>2020</v>
      </c>
      <c r="E70" s="210"/>
      <c r="F70" s="210"/>
      <c r="G70" s="211">
        <v>2019</v>
      </c>
      <c r="H70" s="211"/>
      <c r="I70" s="211"/>
      <c r="J70" s="211">
        <v>2018</v>
      </c>
      <c r="K70" s="211"/>
      <c r="L70" s="211"/>
    </row>
    <row r="71" spans="1:12" ht="16.899999999999999" customHeight="1" x14ac:dyDescent="0.2">
      <c r="A71" s="209"/>
      <c r="B71" s="209"/>
      <c r="C71" s="209"/>
      <c r="D71" s="221" t="s">
        <v>174</v>
      </c>
      <c r="E71" s="221" t="s">
        <v>323</v>
      </c>
      <c r="F71" s="221" t="s">
        <v>324</v>
      </c>
      <c r="G71" s="223" t="s">
        <v>174</v>
      </c>
      <c r="H71" s="221" t="s">
        <v>323</v>
      </c>
      <c r="I71" s="221" t="s">
        <v>324</v>
      </c>
      <c r="J71" s="223" t="s">
        <v>174</v>
      </c>
      <c r="K71" s="221" t="s">
        <v>323</v>
      </c>
      <c r="L71" s="221" t="s">
        <v>324</v>
      </c>
    </row>
    <row r="72" spans="1:12" ht="12" customHeight="1" x14ac:dyDescent="0.2">
      <c r="A72" s="209"/>
      <c r="B72" s="209"/>
      <c r="C72" s="209"/>
      <c r="D72" s="222"/>
      <c r="E72" s="222"/>
      <c r="F72" s="222"/>
      <c r="G72" s="224"/>
      <c r="H72" s="222"/>
      <c r="I72" s="222"/>
      <c r="J72" s="224"/>
      <c r="K72" s="222"/>
      <c r="L72" s="222"/>
    </row>
    <row r="73" spans="1:12" ht="16.149999999999999" customHeight="1" x14ac:dyDescent="0.25">
      <c r="A73" s="148" t="s">
        <v>176</v>
      </c>
      <c r="B73" s="148" t="s">
        <v>176</v>
      </c>
      <c r="C73" s="178" t="s">
        <v>325</v>
      </c>
      <c r="D73" s="182">
        <v>2025</v>
      </c>
      <c r="E73" s="180">
        <v>0.18184199000000001</v>
      </c>
      <c r="F73" s="150">
        <v>5.2586189999999998E-2</v>
      </c>
      <c r="G73" s="183">
        <v>1494</v>
      </c>
      <c r="H73" s="180">
        <v>0.11502738</v>
      </c>
      <c r="I73" s="150">
        <v>3.7459449999999998E-2</v>
      </c>
      <c r="J73" s="183">
        <v>2364</v>
      </c>
      <c r="K73" s="180">
        <v>0.13935526000000001</v>
      </c>
      <c r="L73" s="150">
        <v>5.644971E-2</v>
      </c>
    </row>
    <row r="74" spans="1:12" ht="16.149999999999999" customHeight="1" x14ac:dyDescent="0.25">
      <c r="A74" s="148" t="s">
        <v>176</v>
      </c>
      <c r="B74" s="148" t="s">
        <v>176</v>
      </c>
      <c r="C74" s="178" t="s">
        <v>326</v>
      </c>
      <c r="D74" s="182">
        <v>2435</v>
      </c>
      <c r="E74" s="180">
        <v>0.22186032999999999</v>
      </c>
      <c r="F74" s="150">
        <v>6.4158939999999998E-2</v>
      </c>
      <c r="G74" s="183">
        <v>2523</v>
      </c>
      <c r="H74" s="180">
        <v>0.19654790999999999</v>
      </c>
      <c r="I74" s="150">
        <v>6.4007159999999994E-2</v>
      </c>
      <c r="J74" s="183">
        <v>3688</v>
      </c>
      <c r="K74" s="180">
        <v>0.22372255999999999</v>
      </c>
      <c r="L74" s="150">
        <v>9.0625029999999995E-2</v>
      </c>
    </row>
    <row r="75" spans="1:12" ht="16.149999999999999" customHeight="1" x14ac:dyDescent="0.25">
      <c r="A75" s="148" t="s">
        <v>176</v>
      </c>
      <c r="B75" s="148" t="s">
        <v>176</v>
      </c>
      <c r="C75" s="178" t="s">
        <v>327</v>
      </c>
      <c r="D75" s="182">
        <v>5910</v>
      </c>
      <c r="E75" s="180">
        <v>0.54495724000000001</v>
      </c>
      <c r="F75" s="150">
        <v>0.15759408999999999</v>
      </c>
      <c r="G75" s="183">
        <v>7995</v>
      </c>
      <c r="H75" s="180">
        <v>0.63618595</v>
      </c>
      <c r="I75" s="150">
        <v>0.20717827999999999</v>
      </c>
      <c r="J75" s="183">
        <v>9322</v>
      </c>
      <c r="K75" s="180">
        <v>0.57132419999999995</v>
      </c>
      <c r="L75" s="150">
        <v>0.23143072000000001</v>
      </c>
    </row>
    <row r="76" spans="1:12" ht="16.149999999999999" customHeight="1" x14ac:dyDescent="0.25">
      <c r="A76" s="148" t="s">
        <v>176</v>
      </c>
      <c r="B76" s="148" t="s">
        <v>176</v>
      </c>
      <c r="C76" s="178" t="s">
        <v>328</v>
      </c>
      <c r="D76" s="179">
        <v>301</v>
      </c>
      <c r="E76" s="180">
        <v>2.801652E-2</v>
      </c>
      <c r="F76" s="150">
        <v>8.1019899999999999E-3</v>
      </c>
      <c r="G76" s="181">
        <v>331</v>
      </c>
      <c r="H76" s="180">
        <v>2.7005749999999999E-2</v>
      </c>
      <c r="I76" s="150">
        <v>8.7945999999999996E-3</v>
      </c>
      <c r="J76" s="181">
        <v>572</v>
      </c>
      <c r="K76" s="180">
        <v>3.4323260000000001E-2</v>
      </c>
      <c r="L76" s="150">
        <v>1.390359E-2</v>
      </c>
    </row>
    <row r="77" spans="1:12" ht="16.149999999999999" customHeight="1" x14ac:dyDescent="0.25">
      <c r="A77" s="148" t="s">
        <v>176</v>
      </c>
      <c r="B77" s="148" t="s">
        <v>176</v>
      </c>
      <c r="C77" s="178" t="s">
        <v>329</v>
      </c>
      <c r="D77" s="179">
        <v>239</v>
      </c>
      <c r="E77" s="180">
        <v>2.3323920000000001E-2</v>
      </c>
      <c r="F77" s="150">
        <v>6.7449500000000004E-3</v>
      </c>
      <c r="G77" s="181">
        <v>304</v>
      </c>
      <c r="H77" s="180">
        <v>2.523301E-2</v>
      </c>
      <c r="I77" s="150">
        <v>8.2173000000000003E-3</v>
      </c>
      <c r="J77" s="181">
        <v>479</v>
      </c>
      <c r="K77" s="180">
        <v>3.1274719999999999E-2</v>
      </c>
      <c r="L77" s="150">
        <v>1.266869E-2</v>
      </c>
    </row>
    <row r="78" spans="1:12" ht="16.149999999999999" customHeight="1" x14ac:dyDescent="0.25">
      <c r="A78" s="148" t="s">
        <v>176</v>
      </c>
      <c r="B78" s="212" t="s">
        <v>182</v>
      </c>
      <c r="C78" s="212"/>
      <c r="D78" s="157">
        <v>10910</v>
      </c>
      <c r="E78" s="152">
        <v>1</v>
      </c>
      <c r="F78" s="152">
        <v>0.28918614999999998</v>
      </c>
      <c r="G78" s="158">
        <v>12647</v>
      </c>
      <c r="H78" s="152">
        <v>1</v>
      </c>
      <c r="I78" s="152">
        <v>0.32565680000000002</v>
      </c>
      <c r="J78" s="158">
        <v>16425</v>
      </c>
      <c r="K78" s="152">
        <v>1</v>
      </c>
      <c r="L78" s="152">
        <v>0.40507774000000002</v>
      </c>
    </row>
    <row r="79" spans="1:12" ht="16.149999999999999" customHeight="1" x14ac:dyDescent="0.25">
      <c r="A79" s="148" t="s">
        <v>176</v>
      </c>
      <c r="B79" s="148" t="s">
        <v>176</v>
      </c>
      <c r="C79" s="148" t="s">
        <v>342</v>
      </c>
      <c r="D79" s="155">
        <v>20233</v>
      </c>
      <c r="E79" s="149" t="s">
        <v>184</v>
      </c>
      <c r="F79" s="150">
        <v>0.51668809999999998</v>
      </c>
      <c r="G79" s="156">
        <v>17733</v>
      </c>
      <c r="H79" s="149" t="s">
        <v>184</v>
      </c>
      <c r="I79" s="150">
        <v>0.44145155000000003</v>
      </c>
      <c r="J79" s="156">
        <v>13799</v>
      </c>
      <c r="K79" s="149" t="s">
        <v>184</v>
      </c>
      <c r="L79" s="150">
        <v>0.33179037</v>
      </c>
    </row>
    <row r="80" spans="1:12" ht="16.149999999999999" customHeight="1" x14ac:dyDescent="0.25">
      <c r="A80" s="148" t="s">
        <v>176</v>
      </c>
      <c r="B80" s="148" t="s">
        <v>176</v>
      </c>
      <c r="C80" s="148" t="s">
        <v>343</v>
      </c>
      <c r="D80" s="155">
        <v>3388</v>
      </c>
      <c r="E80" s="149" t="s">
        <v>184</v>
      </c>
      <c r="F80" s="150">
        <v>9.1594620000000002E-2</v>
      </c>
      <c r="G80" s="156">
        <v>4426</v>
      </c>
      <c r="H80" s="149" t="s">
        <v>184</v>
      </c>
      <c r="I80" s="150">
        <v>0.11664465</v>
      </c>
      <c r="J80" s="156">
        <v>5310</v>
      </c>
      <c r="K80" s="149" t="s">
        <v>184</v>
      </c>
      <c r="L80" s="150">
        <v>0.13531691000000001</v>
      </c>
    </row>
    <row r="81" spans="1:12" ht="16.149999999999999" customHeight="1" x14ac:dyDescent="0.25">
      <c r="A81" s="148" t="s">
        <v>176</v>
      </c>
      <c r="B81" s="148" t="s">
        <v>176</v>
      </c>
      <c r="C81" s="148" t="s">
        <v>344</v>
      </c>
      <c r="D81" s="155">
        <v>3722</v>
      </c>
      <c r="E81" s="149" t="s">
        <v>184</v>
      </c>
      <c r="F81" s="150">
        <v>0.10253112</v>
      </c>
      <c r="G81" s="156">
        <v>4374</v>
      </c>
      <c r="H81" s="149" t="s">
        <v>184</v>
      </c>
      <c r="I81" s="150">
        <v>0.116247</v>
      </c>
      <c r="J81" s="156">
        <v>5047</v>
      </c>
      <c r="K81" s="149" t="s">
        <v>184</v>
      </c>
      <c r="L81" s="150">
        <v>0.12781497</v>
      </c>
    </row>
    <row r="82" spans="1:12" ht="16.149999999999999" customHeight="1" x14ac:dyDescent="0.25">
      <c r="A82" s="148" t="s">
        <v>176</v>
      </c>
      <c r="B82" s="213" t="s">
        <v>185</v>
      </c>
      <c r="C82" s="213"/>
      <c r="D82" s="159">
        <v>38253</v>
      </c>
      <c r="E82" s="154">
        <v>1</v>
      </c>
      <c r="F82" s="154">
        <v>1</v>
      </c>
      <c r="G82" s="160">
        <v>39180</v>
      </c>
      <c r="H82" s="154">
        <v>1</v>
      </c>
      <c r="I82" s="154">
        <v>1</v>
      </c>
      <c r="J82" s="160">
        <v>40581</v>
      </c>
      <c r="K82" s="154">
        <v>1</v>
      </c>
      <c r="L82" s="154">
        <v>1</v>
      </c>
    </row>
    <row r="84" spans="1:12" ht="16.149999999999999" customHeight="1" x14ac:dyDescent="0.25">
      <c r="A84" s="208" t="s">
        <v>348</v>
      </c>
      <c r="B84" s="208"/>
      <c r="C84" s="208"/>
      <c r="D84" s="210">
        <v>2020</v>
      </c>
      <c r="E84" s="210"/>
      <c r="F84" s="210"/>
      <c r="G84" s="211">
        <v>2019</v>
      </c>
      <c r="H84" s="211"/>
      <c r="I84" s="211"/>
      <c r="J84" s="211">
        <v>2018</v>
      </c>
      <c r="K84" s="211"/>
      <c r="L84" s="211"/>
    </row>
    <row r="85" spans="1:12" ht="16.899999999999999" customHeight="1" x14ac:dyDescent="0.2">
      <c r="A85" s="209"/>
      <c r="B85" s="209"/>
      <c r="C85" s="209"/>
      <c r="D85" s="221" t="s">
        <v>174</v>
      </c>
      <c r="E85" s="221" t="s">
        <v>323</v>
      </c>
      <c r="F85" s="221" t="s">
        <v>324</v>
      </c>
      <c r="G85" s="223" t="s">
        <v>174</v>
      </c>
      <c r="H85" s="221" t="s">
        <v>323</v>
      </c>
      <c r="I85" s="221" t="s">
        <v>324</v>
      </c>
      <c r="J85" s="223" t="s">
        <v>174</v>
      </c>
      <c r="K85" s="221" t="s">
        <v>323</v>
      </c>
      <c r="L85" s="221" t="s">
        <v>324</v>
      </c>
    </row>
    <row r="86" spans="1:12" ht="12" customHeight="1" x14ac:dyDescent="0.2">
      <c r="A86" s="209"/>
      <c r="B86" s="209"/>
      <c r="C86" s="209"/>
      <c r="D86" s="222"/>
      <c r="E86" s="222"/>
      <c r="F86" s="222"/>
      <c r="G86" s="224"/>
      <c r="H86" s="222"/>
      <c r="I86" s="222"/>
      <c r="J86" s="224"/>
      <c r="K86" s="222"/>
      <c r="L86" s="222"/>
    </row>
    <row r="87" spans="1:12" ht="16.149999999999999" customHeight="1" x14ac:dyDescent="0.25">
      <c r="A87" s="148" t="s">
        <v>176</v>
      </c>
      <c r="B87" s="148" t="s">
        <v>176</v>
      </c>
      <c r="C87" s="178" t="s">
        <v>325</v>
      </c>
      <c r="D87" s="182">
        <v>1450</v>
      </c>
      <c r="E87" s="180">
        <v>0.15441764999999999</v>
      </c>
      <c r="F87" s="150">
        <v>3.7739750000000002E-2</v>
      </c>
      <c r="G87" s="181">
        <v>994</v>
      </c>
      <c r="H87" s="180">
        <v>8.7535249999999995E-2</v>
      </c>
      <c r="I87" s="150">
        <v>2.479259E-2</v>
      </c>
      <c r="J87" s="183">
        <v>1678</v>
      </c>
      <c r="K87" s="180">
        <v>0.11270564</v>
      </c>
      <c r="L87" s="150">
        <v>3.9311680000000002E-2</v>
      </c>
    </row>
    <row r="88" spans="1:12" ht="16.149999999999999" customHeight="1" x14ac:dyDescent="0.25">
      <c r="A88" s="148" t="s">
        <v>176</v>
      </c>
      <c r="B88" s="148" t="s">
        <v>176</v>
      </c>
      <c r="C88" s="178" t="s">
        <v>326</v>
      </c>
      <c r="D88" s="182">
        <v>1601</v>
      </c>
      <c r="E88" s="180">
        <v>0.176483</v>
      </c>
      <c r="F88" s="150">
        <v>4.3132539999999997E-2</v>
      </c>
      <c r="G88" s="183">
        <v>1606</v>
      </c>
      <c r="H88" s="180">
        <v>0.14483842</v>
      </c>
      <c r="I88" s="150">
        <v>4.102256E-2</v>
      </c>
      <c r="J88" s="183">
        <v>2396</v>
      </c>
      <c r="K88" s="180">
        <v>0.16774089</v>
      </c>
      <c r="L88" s="150">
        <v>5.8507950000000003E-2</v>
      </c>
    </row>
    <row r="89" spans="1:12" ht="16.149999999999999" customHeight="1" x14ac:dyDescent="0.25">
      <c r="A89" s="148" t="s">
        <v>176</v>
      </c>
      <c r="B89" s="148" t="s">
        <v>176</v>
      </c>
      <c r="C89" s="178" t="s">
        <v>327</v>
      </c>
      <c r="D89" s="182">
        <v>5694</v>
      </c>
      <c r="E89" s="180">
        <v>0.62768868</v>
      </c>
      <c r="F89" s="150">
        <v>0.15340744000000001</v>
      </c>
      <c r="G89" s="183">
        <v>7897</v>
      </c>
      <c r="H89" s="180">
        <v>0.72511040000000004</v>
      </c>
      <c r="I89" s="150">
        <v>0.20537289</v>
      </c>
      <c r="J89" s="183">
        <v>9235</v>
      </c>
      <c r="K89" s="180">
        <v>0.65618615000000002</v>
      </c>
      <c r="L89" s="150">
        <v>0.22887743999999999</v>
      </c>
    </row>
    <row r="90" spans="1:12" ht="16.149999999999999" customHeight="1" x14ac:dyDescent="0.25">
      <c r="A90" s="148" t="s">
        <v>176</v>
      </c>
      <c r="B90" s="148" t="s">
        <v>176</v>
      </c>
      <c r="C90" s="178" t="s">
        <v>328</v>
      </c>
      <c r="D90" s="179">
        <v>194</v>
      </c>
      <c r="E90" s="180">
        <v>2.171433E-2</v>
      </c>
      <c r="F90" s="150">
        <v>5.3069900000000001E-3</v>
      </c>
      <c r="G90" s="181">
        <v>251</v>
      </c>
      <c r="H90" s="180">
        <v>2.3861779999999999E-2</v>
      </c>
      <c r="I90" s="150">
        <v>6.7583699999999997E-3</v>
      </c>
      <c r="J90" s="181">
        <v>497</v>
      </c>
      <c r="K90" s="180">
        <v>3.6271089999999999E-2</v>
      </c>
      <c r="L90" s="150">
        <v>1.2651340000000001E-2</v>
      </c>
    </row>
    <row r="91" spans="1:12" ht="16.149999999999999" customHeight="1" x14ac:dyDescent="0.25">
      <c r="A91" s="148" t="s">
        <v>176</v>
      </c>
      <c r="B91" s="148" t="s">
        <v>176</v>
      </c>
      <c r="C91" s="178" t="s">
        <v>329</v>
      </c>
      <c r="D91" s="179">
        <v>168</v>
      </c>
      <c r="E91" s="180">
        <v>1.969634E-2</v>
      </c>
      <c r="F91" s="150">
        <v>4.8138E-3</v>
      </c>
      <c r="G91" s="181">
        <v>191</v>
      </c>
      <c r="H91" s="180">
        <v>1.865414E-2</v>
      </c>
      <c r="I91" s="150">
        <v>5.2834099999999997E-3</v>
      </c>
      <c r="J91" s="181">
        <v>355</v>
      </c>
      <c r="K91" s="180">
        <v>2.7096229999999999E-2</v>
      </c>
      <c r="L91" s="150">
        <v>9.4511500000000002E-3</v>
      </c>
    </row>
    <row r="92" spans="1:12" ht="16.149999999999999" customHeight="1" x14ac:dyDescent="0.25">
      <c r="A92" s="148" t="s">
        <v>176</v>
      </c>
      <c r="B92" s="212" t="s">
        <v>182</v>
      </c>
      <c r="C92" s="212"/>
      <c r="D92" s="157">
        <v>9107</v>
      </c>
      <c r="E92" s="152">
        <v>1</v>
      </c>
      <c r="F92" s="152">
        <v>0.24440052000000001</v>
      </c>
      <c r="G92" s="158">
        <v>10939</v>
      </c>
      <c r="H92" s="152">
        <v>1</v>
      </c>
      <c r="I92" s="152">
        <v>0.28322983000000002</v>
      </c>
      <c r="J92" s="158">
        <v>14161</v>
      </c>
      <c r="K92" s="152">
        <v>1</v>
      </c>
      <c r="L92" s="152">
        <v>0.34879956000000001</v>
      </c>
    </row>
    <row r="93" spans="1:12" ht="16.149999999999999" customHeight="1" x14ac:dyDescent="0.25">
      <c r="A93" s="148" t="s">
        <v>176</v>
      </c>
      <c r="B93" s="148" t="s">
        <v>176</v>
      </c>
      <c r="C93" s="148" t="s">
        <v>342</v>
      </c>
      <c r="D93" s="155">
        <v>19783</v>
      </c>
      <c r="E93" s="149" t="s">
        <v>184</v>
      </c>
      <c r="F93" s="150">
        <v>0.50757154999999998</v>
      </c>
      <c r="G93" s="156">
        <v>17001</v>
      </c>
      <c r="H93" s="149" t="s">
        <v>184</v>
      </c>
      <c r="I93" s="150">
        <v>0.42350092</v>
      </c>
      <c r="J93" s="156">
        <v>12934</v>
      </c>
      <c r="K93" s="149" t="s">
        <v>184</v>
      </c>
      <c r="L93" s="150">
        <v>0.30853878000000001</v>
      </c>
    </row>
    <row r="94" spans="1:12" ht="16.149999999999999" customHeight="1" x14ac:dyDescent="0.25">
      <c r="A94" s="148" t="s">
        <v>176</v>
      </c>
      <c r="B94" s="148" t="s">
        <v>176</v>
      </c>
      <c r="C94" s="148" t="s">
        <v>343</v>
      </c>
      <c r="D94" s="155">
        <v>2935</v>
      </c>
      <c r="E94" s="149" t="s">
        <v>184</v>
      </c>
      <c r="F94" s="150">
        <v>7.9521469999999997E-2</v>
      </c>
      <c r="G94" s="156">
        <v>3783</v>
      </c>
      <c r="H94" s="149" t="s">
        <v>184</v>
      </c>
      <c r="I94" s="150">
        <v>0.10025803</v>
      </c>
      <c r="J94" s="156">
        <v>4794</v>
      </c>
      <c r="K94" s="149" t="s">
        <v>184</v>
      </c>
      <c r="L94" s="150">
        <v>0.12284286</v>
      </c>
    </row>
    <row r="95" spans="1:12" ht="16.149999999999999" customHeight="1" x14ac:dyDescent="0.25">
      <c r="A95" s="148" t="s">
        <v>176</v>
      </c>
      <c r="B95" s="148" t="s">
        <v>176</v>
      </c>
      <c r="C95" s="148" t="s">
        <v>344</v>
      </c>
      <c r="D95" s="155">
        <v>6150</v>
      </c>
      <c r="E95" s="149" t="s">
        <v>184</v>
      </c>
      <c r="F95" s="150">
        <v>0.16850646</v>
      </c>
      <c r="G95" s="156">
        <v>7282</v>
      </c>
      <c r="H95" s="149" t="s">
        <v>184</v>
      </c>
      <c r="I95" s="150">
        <v>0.19301123000000001</v>
      </c>
      <c r="J95" s="156">
        <v>8692</v>
      </c>
      <c r="K95" s="149" t="s">
        <v>184</v>
      </c>
      <c r="L95" s="150">
        <v>0.21981880000000001</v>
      </c>
    </row>
    <row r="96" spans="1:12" ht="16.149999999999999" customHeight="1" x14ac:dyDescent="0.25">
      <c r="A96" s="148" t="s">
        <v>176</v>
      </c>
      <c r="B96" s="213" t="s">
        <v>185</v>
      </c>
      <c r="C96" s="213"/>
      <c r="D96" s="159">
        <v>37975</v>
      </c>
      <c r="E96" s="154">
        <v>1</v>
      </c>
      <c r="F96" s="154">
        <v>1</v>
      </c>
      <c r="G96" s="160">
        <v>39005</v>
      </c>
      <c r="H96" s="154">
        <v>1</v>
      </c>
      <c r="I96" s="154">
        <v>1</v>
      </c>
      <c r="J96" s="160">
        <v>40581</v>
      </c>
      <c r="K96" s="154">
        <v>1</v>
      </c>
      <c r="L96" s="154">
        <v>1</v>
      </c>
    </row>
    <row r="98" spans="1:1" ht="16.149999999999999" customHeight="1" x14ac:dyDescent="0.2">
      <c r="A98" s="145" t="s">
        <v>170</v>
      </c>
    </row>
    <row r="99" spans="1:1" ht="16.149999999999999" customHeight="1" x14ac:dyDescent="0.2">
      <c r="A99" s="145" t="s">
        <v>187</v>
      </c>
    </row>
    <row r="100" spans="1:1" ht="16.149999999999999" customHeight="1" x14ac:dyDescent="0.2">
      <c r="A100" s="145" t="s">
        <v>172</v>
      </c>
    </row>
  </sheetData>
  <sheetProtection algorithmName="SHA-512" hashValue="F1jEBDBI5zQbKc2QBIqOK2DrNseMaXG6gTfa/JIxHBwHaUMULzzoIXDY92cN3VundK5hELvodno/452qW2tSKQ==" saltValue="67eWdUi1YmC975S8EOfDEw==" spinCount="100000" sheet="1" objects="1" scenarios="1"/>
  <mergeCells count="110">
    <mergeCell ref="B92:C92"/>
    <mergeCell ref="B96:C96"/>
    <mergeCell ref="G85:G86"/>
    <mergeCell ref="H85:H86"/>
    <mergeCell ref="I85:I86"/>
    <mergeCell ref="J85:J86"/>
    <mergeCell ref="K85:K86"/>
    <mergeCell ref="L85:L86"/>
    <mergeCell ref="L71:L72"/>
    <mergeCell ref="B78:C78"/>
    <mergeCell ref="B82:C82"/>
    <mergeCell ref="A84:C86"/>
    <mergeCell ref="D84:F84"/>
    <mergeCell ref="G84:I84"/>
    <mergeCell ref="J84:L84"/>
    <mergeCell ref="D85:D86"/>
    <mergeCell ref="E85:E86"/>
    <mergeCell ref="F85:F86"/>
    <mergeCell ref="F71:F72"/>
    <mergeCell ref="G71:G72"/>
    <mergeCell ref="H71:H72"/>
    <mergeCell ref="I71:I72"/>
    <mergeCell ref="J71:J72"/>
    <mergeCell ref="K71:K72"/>
    <mergeCell ref="B64:C64"/>
    <mergeCell ref="B68:C68"/>
    <mergeCell ref="A70:C72"/>
    <mergeCell ref="D70:F70"/>
    <mergeCell ref="G70:I70"/>
    <mergeCell ref="J70:L70"/>
    <mergeCell ref="D71:D72"/>
    <mergeCell ref="E71:E72"/>
    <mergeCell ref="E57:E58"/>
    <mergeCell ref="F57:F58"/>
    <mergeCell ref="G57:G58"/>
    <mergeCell ref="H57:H58"/>
    <mergeCell ref="I57:I58"/>
    <mergeCell ref="J57:J58"/>
    <mergeCell ref="J43:J44"/>
    <mergeCell ref="K43:K44"/>
    <mergeCell ref="L43:L44"/>
    <mergeCell ref="B50:C50"/>
    <mergeCell ref="B54:C54"/>
    <mergeCell ref="A56:C58"/>
    <mergeCell ref="D56:F56"/>
    <mergeCell ref="G56:I56"/>
    <mergeCell ref="J56:L56"/>
    <mergeCell ref="D57:D58"/>
    <mergeCell ref="A42:C44"/>
    <mergeCell ref="D42:F42"/>
    <mergeCell ref="G42:I42"/>
    <mergeCell ref="J42:L42"/>
    <mergeCell ref="D43:D44"/>
    <mergeCell ref="E43:E44"/>
    <mergeCell ref="F43:F44"/>
    <mergeCell ref="G43:G44"/>
    <mergeCell ref="H43:H44"/>
    <mergeCell ref="I43:I44"/>
    <mergeCell ref="K57:K58"/>
    <mergeCell ref="L57:L58"/>
    <mergeCell ref="I29:I30"/>
    <mergeCell ref="J29:J30"/>
    <mergeCell ref="K29:K30"/>
    <mergeCell ref="L29:L30"/>
    <mergeCell ref="B36:C36"/>
    <mergeCell ref="B40:C40"/>
    <mergeCell ref="A26:H26"/>
    <mergeCell ref="A28:C30"/>
    <mergeCell ref="D28:F28"/>
    <mergeCell ref="G28:I28"/>
    <mergeCell ref="J28:L28"/>
    <mergeCell ref="D29:D30"/>
    <mergeCell ref="E29:E30"/>
    <mergeCell ref="F29:F30"/>
    <mergeCell ref="G29:G30"/>
    <mergeCell ref="H29:H30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A17:C18"/>
    <mergeCell ref="D17:F17"/>
    <mergeCell ref="G17:H17"/>
    <mergeCell ref="D18:E18"/>
    <mergeCell ref="B19:C19"/>
    <mergeCell ref="D19:E19"/>
    <mergeCell ref="I4:I5"/>
    <mergeCell ref="J4:J5"/>
    <mergeCell ref="K4:K5"/>
    <mergeCell ref="L4:L5"/>
    <mergeCell ref="B11:C11"/>
    <mergeCell ref="B15:C15"/>
    <mergeCell ref="A1:D1"/>
    <mergeCell ref="A3:C5"/>
    <mergeCell ref="D3:F3"/>
    <mergeCell ref="G3:I3"/>
    <mergeCell ref="J3:L3"/>
    <mergeCell ref="D4:D5"/>
    <mergeCell ref="E4:E5"/>
    <mergeCell ref="F4:F5"/>
    <mergeCell ref="G4:G5"/>
    <mergeCell ref="H4:H5"/>
  </mergeCells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C23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4" t="s">
        <v>349</v>
      </c>
      <c r="B1" s="165"/>
      <c r="C1" s="165"/>
    </row>
    <row r="2" spans="1:3" ht="13.9" customHeight="1" x14ac:dyDescent="0.2">
      <c r="A2" s="165"/>
      <c r="B2" s="165"/>
      <c r="C2" s="165"/>
    </row>
    <row r="3" spans="1:3" ht="48" customHeight="1" x14ac:dyDescent="0.25">
      <c r="A3" s="214" t="s">
        <v>350</v>
      </c>
      <c r="B3" s="214"/>
      <c r="C3" s="214"/>
    </row>
    <row r="4" spans="1:3" ht="16.899999999999999" customHeight="1" x14ac:dyDescent="0.2">
      <c r="A4" s="165"/>
      <c r="B4" s="216">
        <v>2020</v>
      </c>
      <c r="C4" s="216"/>
    </row>
    <row r="5" spans="1:3" ht="16.899999999999999" customHeight="1" x14ac:dyDescent="0.25">
      <c r="A5" s="165"/>
      <c r="B5" s="166" t="s">
        <v>174</v>
      </c>
      <c r="C5" s="167" t="s">
        <v>175</v>
      </c>
    </row>
    <row r="6" spans="1:3" ht="16.899999999999999" customHeight="1" x14ac:dyDescent="0.25">
      <c r="A6" s="148" t="s">
        <v>351</v>
      </c>
      <c r="B6" s="155">
        <v>25734</v>
      </c>
      <c r="C6" s="168">
        <v>0.66957270000000002</v>
      </c>
    </row>
    <row r="7" spans="1:3" ht="31.9" customHeight="1" x14ac:dyDescent="0.25">
      <c r="A7" s="148" t="s">
        <v>352</v>
      </c>
      <c r="B7" s="155">
        <v>4293</v>
      </c>
      <c r="C7" s="168">
        <v>0.11050335</v>
      </c>
    </row>
    <row r="8" spans="1:3" ht="31.9" customHeight="1" x14ac:dyDescent="0.25">
      <c r="A8" s="148" t="s">
        <v>353</v>
      </c>
      <c r="B8" s="155">
        <v>4763</v>
      </c>
      <c r="C8" s="168">
        <v>0.12724181000000001</v>
      </c>
    </row>
    <row r="9" spans="1:3" ht="16.899999999999999" customHeight="1" x14ac:dyDescent="0.25">
      <c r="A9" s="148" t="s">
        <v>354</v>
      </c>
      <c r="B9" s="155">
        <v>4115</v>
      </c>
      <c r="C9" s="168">
        <v>0.11003125</v>
      </c>
    </row>
    <row r="10" spans="1:3" ht="16.899999999999999" customHeight="1" x14ac:dyDescent="0.25">
      <c r="A10" s="148" t="s">
        <v>355</v>
      </c>
      <c r="B10" s="155">
        <v>1035</v>
      </c>
      <c r="C10" s="168">
        <v>2.659837E-2</v>
      </c>
    </row>
    <row r="11" spans="1:3" ht="16.899999999999999" customHeight="1" x14ac:dyDescent="0.25">
      <c r="A11" s="148" t="s">
        <v>356</v>
      </c>
      <c r="B11" s="155">
        <v>3135</v>
      </c>
      <c r="C11" s="168">
        <v>8.4720039999999996E-2</v>
      </c>
    </row>
    <row r="12" spans="1:3" ht="16.899999999999999" customHeight="1" x14ac:dyDescent="0.25">
      <c r="A12" s="148" t="s">
        <v>357</v>
      </c>
      <c r="B12" s="155">
        <v>310</v>
      </c>
      <c r="C12" s="168">
        <v>9.25722E-3</v>
      </c>
    </row>
    <row r="13" spans="1:3" ht="31.9" customHeight="1" x14ac:dyDescent="0.25">
      <c r="A13" s="148" t="s">
        <v>358</v>
      </c>
      <c r="B13" s="155">
        <v>1367</v>
      </c>
      <c r="C13" s="168">
        <v>3.666589E-2</v>
      </c>
    </row>
    <row r="14" spans="1:3" ht="31.9" customHeight="1" x14ac:dyDescent="0.25">
      <c r="A14" s="148" t="s">
        <v>359</v>
      </c>
      <c r="B14" s="155">
        <v>110</v>
      </c>
      <c r="C14" s="168">
        <v>2.9466800000000001E-3</v>
      </c>
    </row>
    <row r="15" spans="1:3" ht="16.899999999999999" customHeight="1" x14ac:dyDescent="0.25">
      <c r="A15" s="148" t="s">
        <v>360</v>
      </c>
      <c r="B15" s="155">
        <v>34</v>
      </c>
      <c r="C15" s="168">
        <v>9.2254000000000001E-4</v>
      </c>
    </row>
    <row r="16" spans="1:3" ht="16.899999999999999" customHeight="1" x14ac:dyDescent="0.25">
      <c r="A16" s="148" t="s">
        <v>361</v>
      </c>
      <c r="B16" s="155">
        <v>45</v>
      </c>
      <c r="C16" s="168">
        <v>1.28188E-3</v>
      </c>
    </row>
    <row r="17" spans="1:3" ht="16.899999999999999" customHeight="1" x14ac:dyDescent="0.25">
      <c r="A17" s="169" t="s">
        <v>362</v>
      </c>
      <c r="B17" s="170">
        <v>967</v>
      </c>
      <c r="C17" s="171">
        <v>2.6592370000000001E-2</v>
      </c>
    </row>
    <row r="18" spans="1:3" ht="31.9" customHeight="1" x14ac:dyDescent="0.25">
      <c r="A18" s="172" t="s">
        <v>211</v>
      </c>
      <c r="B18" s="159">
        <v>38190</v>
      </c>
      <c r="C18" s="153" t="s">
        <v>184</v>
      </c>
    </row>
    <row r="20" spans="1:3" ht="13.9" customHeight="1" x14ac:dyDescent="0.2">
      <c r="A20" s="165"/>
      <c r="B20" s="165"/>
      <c r="C20" s="165"/>
    </row>
    <row r="21" spans="1:3" ht="16.149999999999999" customHeight="1" x14ac:dyDescent="0.2">
      <c r="A21" s="217" t="s">
        <v>217</v>
      </c>
      <c r="B21" s="217"/>
      <c r="C21" s="217"/>
    </row>
    <row r="22" spans="1:3" ht="43.9" customHeight="1" x14ac:dyDescent="0.2">
      <c r="A22" s="217" t="s">
        <v>363</v>
      </c>
      <c r="B22" s="217"/>
      <c r="C22" s="217"/>
    </row>
    <row r="23" spans="1:3" ht="16.149999999999999" customHeight="1" x14ac:dyDescent="0.2">
      <c r="A23" s="217" t="s">
        <v>218</v>
      </c>
      <c r="B23" s="217"/>
      <c r="C23" s="217"/>
    </row>
  </sheetData>
  <sheetProtection algorithmName="SHA-512" hashValue="WWVXM/SCZFnQWSxdjVm8+cIiC4POvFFGdQ7OcB4RCii8R4Aif5k3+dQsT9SOqlt/OdV0E6zLzGEZCefbiuKJhQ==" saltValue="STu91y0nbg3gYyZBNpgLnQ==" spinCount="100000" sheet="1" objects="1" scenarios="1"/>
  <mergeCells count="5">
    <mergeCell ref="A3:C3"/>
    <mergeCell ref="B4:C4"/>
    <mergeCell ref="A21:C21"/>
    <mergeCell ref="A22:C22"/>
    <mergeCell ref="A23:C23"/>
  </mergeCells>
  <pageMargins left="0.05" right="0.05" top="0.5" bottom="0.5" header="0" footer="0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20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4" t="s">
        <v>349</v>
      </c>
      <c r="B1" s="165"/>
      <c r="C1" s="165"/>
    </row>
    <row r="2" spans="1:3" ht="13.9" customHeight="1" x14ac:dyDescent="0.2">
      <c r="A2" s="165"/>
      <c r="B2" s="165"/>
      <c r="C2" s="165"/>
    </row>
    <row r="3" spans="1:3" ht="48" customHeight="1" x14ac:dyDescent="0.25">
      <c r="A3" s="214" t="s">
        <v>364</v>
      </c>
      <c r="B3" s="214"/>
      <c r="C3" s="214"/>
    </row>
    <row r="4" spans="1:3" ht="16.899999999999999" customHeight="1" x14ac:dyDescent="0.2">
      <c r="A4" s="165"/>
      <c r="B4" s="216">
        <v>2020</v>
      </c>
      <c r="C4" s="216"/>
    </row>
    <row r="5" spans="1:3" ht="16.899999999999999" customHeight="1" x14ac:dyDescent="0.25">
      <c r="A5" s="165"/>
      <c r="B5" s="166" t="s">
        <v>174</v>
      </c>
      <c r="C5" s="167" t="s">
        <v>175</v>
      </c>
    </row>
    <row r="6" spans="1:3" ht="16.899999999999999" customHeight="1" x14ac:dyDescent="0.25">
      <c r="A6" s="148" t="s">
        <v>365</v>
      </c>
      <c r="B6" s="155">
        <v>30326</v>
      </c>
      <c r="C6" s="168">
        <v>0.79464793</v>
      </c>
    </row>
    <row r="7" spans="1:3" ht="31.9" customHeight="1" x14ac:dyDescent="0.25">
      <c r="A7" s="148" t="s">
        <v>366</v>
      </c>
      <c r="B7" s="155">
        <v>3390</v>
      </c>
      <c r="C7" s="168">
        <v>8.851755E-2</v>
      </c>
    </row>
    <row r="8" spans="1:3" ht="16.899999999999999" customHeight="1" x14ac:dyDescent="0.25">
      <c r="A8" s="148" t="s">
        <v>354</v>
      </c>
      <c r="B8" s="155">
        <v>1852</v>
      </c>
      <c r="C8" s="168">
        <v>4.9394849999999997E-2</v>
      </c>
    </row>
    <row r="9" spans="1:3" ht="16.899999999999999" customHeight="1" x14ac:dyDescent="0.25">
      <c r="A9" s="148" t="s">
        <v>367</v>
      </c>
      <c r="B9" s="155">
        <v>114</v>
      </c>
      <c r="C9" s="168">
        <v>3.1978699999999998E-3</v>
      </c>
    </row>
    <row r="10" spans="1:3" ht="16.899999999999999" customHeight="1" x14ac:dyDescent="0.25">
      <c r="A10" s="148" t="s">
        <v>356</v>
      </c>
      <c r="B10" s="155">
        <v>2395</v>
      </c>
      <c r="C10" s="168">
        <v>6.4128030000000003E-2</v>
      </c>
    </row>
    <row r="11" spans="1:3" ht="16.899999999999999" customHeight="1" x14ac:dyDescent="0.25">
      <c r="A11" s="148" t="s">
        <v>357</v>
      </c>
      <c r="B11" s="155">
        <v>210</v>
      </c>
      <c r="C11" s="168">
        <v>6.0765699999999999E-3</v>
      </c>
    </row>
    <row r="12" spans="1:3" ht="16.899999999999999" customHeight="1" x14ac:dyDescent="0.25">
      <c r="A12" s="148" t="s">
        <v>368</v>
      </c>
      <c r="B12" s="155">
        <v>47</v>
      </c>
      <c r="C12" s="168">
        <v>1.20783E-3</v>
      </c>
    </row>
    <row r="13" spans="1:3" ht="31.9" customHeight="1" x14ac:dyDescent="0.25">
      <c r="A13" s="148" t="s">
        <v>369</v>
      </c>
      <c r="B13" s="155">
        <v>261</v>
      </c>
      <c r="C13" s="168">
        <v>6.99404E-3</v>
      </c>
    </row>
    <row r="14" spans="1:3" ht="16.899999999999999" customHeight="1" x14ac:dyDescent="0.25">
      <c r="A14" s="169" t="s">
        <v>362</v>
      </c>
      <c r="B14" s="170">
        <v>1197</v>
      </c>
      <c r="C14" s="171">
        <v>3.2424479999999999E-2</v>
      </c>
    </row>
    <row r="15" spans="1:3" ht="31.9" customHeight="1" x14ac:dyDescent="0.25">
      <c r="A15" s="172" t="s">
        <v>211</v>
      </c>
      <c r="B15" s="159">
        <v>38061</v>
      </c>
      <c r="C15" s="153" t="s">
        <v>184</v>
      </c>
    </row>
    <row r="17" spans="1:3" ht="13.9" customHeight="1" x14ac:dyDescent="0.2">
      <c r="A17" s="165"/>
      <c r="B17" s="165"/>
      <c r="C17" s="165"/>
    </row>
    <row r="18" spans="1:3" ht="16.149999999999999" customHeight="1" x14ac:dyDescent="0.2">
      <c r="A18" s="217" t="s">
        <v>217</v>
      </c>
      <c r="B18" s="217"/>
      <c r="C18" s="217"/>
    </row>
    <row r="19" spans="1:3" ht="43.9" customHeight="1" x14ac:dyDescent="0.2">
      <c r="A19" s="217" t="s">
        <v>370</v>
      </c>
      <c r="B19" s="217"/>
      <c r="C19" s="217"/>
    </row>
    <row r="20" spans="1:3" ht="16.149999999999999" customHeight="1" x14ac:dyDescent="0.2">
      <c r="A20" s="217" t="s">
        <v>218</v>
      </c>
      <c r="B20" s="217"/>
      <c r="C20" s="217"/>
    </row>
  </sheetData>
  <sheetProtection algorithmName="SHA-512" hashValue="5yXQfSZbn9BlgOqhuTPuy53QdaeAWFxRaud5lyFusf6YlPk7nNFua03xgLfIyzUi+INsUM05RJGbQNtmP3tIkA==" saltValue="pa5mTQPfTobcPKpLnZhZTw==" spinCount="100000" sheet="1" objects="1" scenarios="1"/>
  <mergeCells count="5">
    <mergeCell ref="A3:C3"/>
    <mergeCell ref="B4:C4"/>
    <mergeCell ref="A18:C18"/>
    <mergeCell ref="A19:C19"/>
    <mergeCell ref="A20:C20"/>
  </mergeCells>
  <pageMargins left="0.05" right="0.05" top="0.5" bottom="0.5" header="0" footer="0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C31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4" t="s">
        <v>349</v>
      </c>
      <c r="B1" s="165"/>
      <c r="C1" s="165"/>
    </row>
    <row r="2" spans="1:3" ht="13.9" customHeight="1" x14ac:dyDescent="0.2">
      <c r="A2" s="165"/>
      <c r="B2" s="165"/>
      <c r="C2" s="165"/>
    </row>
    <row r="3" spans="1:3" ht="48" customHeight="1" x14ac:dyDescent="0.25">
      <c r="A3" s="214" t="s">
        <v>371</v>
      </c>
      <c r="B3" s="214"/>
      <c r="C3" s="214"/>
    </row>
    <row r="4" spans="1:3" ht="16.899999999999999" customHeight="1" x14ac:dyDescent="0.2">
      <c r="A4" s="165"/>
      <c r="B4" s="216">
        <v>2020</v>
      </c>
      <c r="C4" s="216"/>
    </row>
    <row r="5" spans="1:3" ht="16.899999999999999" customHeight="1" x14ac:dyDescent="0.25">
      <c r="A5" s="165"/>
      <c r="B5" s="166" t="s">
        <v>174</v>
      </c>
      <c r="C5" s="167" t="s">
        <v>175</v>
      </c>
    </row>
    <row r="6" spans="1:3" ht="16.899999999999999" customHeight="1" x14ac:dyDescent="0.25">
      <c r="A6" s="148" t="s">
        <v>372</v>
      </c>
      <c r="B6" s="155">
        <v>20298</v>
      </c>
      <c r="C6" s="149" t="s">
        <v>184</v>
      </c>
    </row>
    <row r="7" spans="1:3" ht="16.899999999999999" customHeight="1" x14ac:dyDescent="0.25">
      <c r="A7" s="148" t="s">
        <v>289</v>
      </c>
      <c r="B7" s="155">
        <v>2804</v>
      </c>
      <c r="C7" s="168">
        <v>0.21529416000000001</v>
      </c>
    </row>
    <row r="8" spans="1:3" ht="16.899999999999999" customHeight="1" x14ac:dyDescent="0.25">
      <c r="A8" s="148" t="s">
        <v>290</v>
      </c>
      <c r="B8" s="155">
        <v>1851</v>
      </c>
      <c r="C8" s="168">
        <v>0.13568474</v>
      </c>
    </row>
    <row r="9" spans="1:3" ht="16.899999999999999" customHeight="1" x14ac:dyDescent="0.25">
      <c r="A9" s="148" t="s">
        <v>291</v>
      </c>
      <c r="B9" s="155">
        <v>3679</v>
      </c>
      <c r="C9" s="168">
        <v>0.26212477000000001</v>
      </c>
    </row>
    <row r="10" spans="1:3" ht="16.899999999999999" customHeight="1" x14ac:dyDescent="0.25">
      <c r="A10" s="148" t="s">
        <v>292</v>
      </c>
      <c r="B10" s="155">
        <v>2750</v>
      </c>
      <c r="C10" s="168">
        <v>0.19228145999999999</v>
      </c>
    </row>
    <row r="11" spans="1:3" ht="16.899999999999999" customHeight="1" x14ac:dyDescent="0.25">
      <c r="A11" s="148" t="s">
        <v>293</v>
      </c>
      <c r="B11" s="155">
        <v>2799</v>
      </c>
      <c r="C11" s="168">
        <v>0.19461487</v>
      </c>
    </row>
    <row r="12" spans="1:3" ht="16.899999999999999" customHeight="1" x14ac:dyDescent="0.25">
      <c r="A12" s="169" t="s">
        <v>373</v>
      </c>
      <c r="B12" s="170">
        <v>4233</v>
      </c>
      <c r="C12" s="177" t="s">
        <v>184</v>
      </c>
    </row>
    <row r="13" spans="1:3" ht="16.899999999999999" customHeight="1" x14ac:dyDescent="0.25">
      <c r="A13" s="172" t="s">
        <v>185</v>
      </c>
      <c r="B13" s="159">
        <v>38414</v>
      </c>
      <c r="C13" s="173">
        <v>1</v>
      </c>
    </row>
    <row r="15" spans="1:3" ht="13.9" customHeight="1" x14ac:dyDescent="0.2">
      <c r="A15" s="165"/>
      <c r="B15" s="165"/>
      <c r="C15" s="165"/>
    </row>
    <row r="16" spans="1:3" ht="48" customHeight="1" x14ac:dyDescent="0.25">
      <c r="A16" s="214" t="s">
        <v>374</v>
      </c>
      <c r="B16" s="214"/>
      <c r="C16" s="214"/>
    </row>
    <row r="17" spans="1:3" ht="16.899999999999999" customHeight="1" x14ac:dyDescent="0.2">
      <c r="A17" s="165"/>
      <c r="B17" s="216">
        <v>2020</v>
      </c>
      <c r="C17" s="216"/>
    </row>
    <row r="18" spans="1:3" ht="16.899999999999999" customHeight="1" x14ac:dyDescent="0.25">
      <c r="A18" s="165"/>
      <c r="B18" s="166" t="s">
        <v>174</v>
      </c>
      <c r="C18" s="167" t="s">
        <v>175</v>
      </c>
    </row>
    <row r="19" spans="1:3" ht="16.899999999999999" customHeight="1" x14ac:dyDescent="0.25">
      <c r="A19" s="148" t="s">
        <v>375</v>
      </c>
      <c r="B19" s="155">
        <v>23875</v>
      </c>
      <c r="C19" s="149" t="s">
        <v>184</v>
      </c>
    </row>
    <row r="20" spans="1:3" ht="16.899999999999999" customHeight="1" x14ac:dyDescent="0.25">
      <c r="A20" s="148" t="s">
        <v>289</v>
      </c>
      <c r="B20" s="155">
        <v>2018</v>
      </c>
      <c r="C20" s="168">
        <v>0.26756695000000003</v>
      </c>
    </row>
    <row r="21" spans="1:3" ht="16.899999999999999" customHeight="1" x14ac:dyDescent="0.25">
      <c r="A21" s="148" t="s">
        <v>290</v>
      </c>
      <c r="B21" s="155">
        <v>1121</v>
      </c>
      <c r="C21" s="168">
        <v>0.14133671</v>
      </c>
    </row>
    <row r="22" spans="1:3" ht="16.899999999999999" customHeight="1" x14ac:dyDescent="0.25">
      <c r="A22" s="148" t="s">
        <v>291</v>
      </c>
      <c r="B22" s="155">
        <v>1894</v>
      </c>
      <c r="C22" s="168">
        <v>0.23826114000000001</v>
      </c>
    </row>
    <row r="23" spans="1:3" ht="16.899999999999999" customHeight="1" x14ac:dyDescent="0.25">
      <c r="A23" s="148" t="s">
        <v>292</v>
      </c>
      <c r="B23" s="155">
        <v>1187</v>
      </c>
      <c r="C23" s="168">
        <v>0.14406005999999999</v>
      </c>
    </row>
    <row r="24" spans="1:3" ht="16.899999999999999" customHeight="1" x14ac:dyDescent="0.25">
      <c r="A24" s="148" t="s">
        <v>293</v>
      </c>
      <c r="B24" s="155">
        <v>1730</v>
      </c>
      <c r="C24" s="168">
        <v>0.20877514</v>
      </c>
    </row>
    <row r="25" spans="1:3" ht="16.899999999999999" customHeight="1" x14ac:dyDescent="0.25">
      <c r="A25" s="169" t="s">
        <v>373</v>
      </c>
      <c r="B25" s="170">
        <v>6577</v>
      </c>
      <c r="C25" s="177" t="s">
        <v>184</v>
      </c>
    </row>
    <row r="26" spans="1:3" ht="16.899999999999999" customHeight="1" x14ac:dyDescent="0.25">
      <c r="A26" s="172" t="s">
        <v>185</v>
      </c>
      <c r="B26" s="159">
        <v>38402</v>
      </c>
      <c r="C26" s="173">
        <v>1</v>
      </c>
    </row>
    <row r="28" spans="1:3" ht="13.9" customHeight="1" x14ac:dyDescent="0.2">
      <c r="A28" s="165"/>
      <c r="B28" s="165"/>
      <c r="C28" s="165"/>
    </row>
    <row r="29" spans="1:3" ht="16.149999999999999" customHeight="1" x14ac:dyDescent="0.2">
      <c r="A29" s="217" t="s">
        <v>217</v>
      </c>
      <c r="B29" s="217"/>
      <c r="C29" s="217"/>
    </row>
    <row r="30" spans="1:3" ht="31.9" customHeight="1" x14ac:dyDescent="0.2">
      <c r="A30" s="217" t="s">
        <v>376</v>
      </c>
      <c r="B30" s="217"/>
      <c r="C30" s="217"/>
    </row>
    <row r="31" spans="1:3" ht="16.149999999999999" customHeight="1" x14ac:dyDescent="0.2">
      <c r="A31" s="217" t="s">
        <v>218</v>
      </c>
      <c r="B31" s="217"/>
      <c r="C31" s="217"/>
    </row>
  </sheetData>
  <sheetProtection algorithmName="SHA-512" hashValue="+wb4jsvZz54rJ27daQPrdQ3f1ceRym8H1jAFjRESQIJH54pPSWlLKdSTaHpGggdVs+0Ani8jwhgVlneaVhhQjw==" saltValue="CYJ3cZ/MUxt+k89qpH6W1g==" spinCount="100000" sheet="1" objects="1" scenarios="1"/>
  <mergeCells count="7">
    <mergeCell ref="A31:C31"/>
    <mergeCell ref="A3:C3"/>
    <mergeCell ref="B4:C4"/>
    <mergeCell ref="A16:C16"/>
    <mergeCell ref="B17:C17"/>
    <mergeCell ref="A29:C29"/>
    <mergeCell ref="A30:C30"/>
  </mergeCells>
  <pageMargins left="0.05" right="0.05" top="0.5" bottom="0.5" header="0" footer="0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D154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2.7109375" style="134" bestFit="1" customWidth="1"/>
    <col min="2" max="2" width="110.7109375" style="134" bestFit="1" customWidth="1"/>
    <col min="3" max="3" width="11.7109375" style="134" bestFit="1" customWidth="1"/>
    <col min="4" max="4" width="8.7109375" style="134" bestFit="1" customWidth="1"/>
    <col min="5" max="16384" width="11.5703125" style="134"/>
  </cols>
  <sheetData>
    <row r="1" spans="1:4" ht="21" customHeight="1" x14ac:dyDescent="0.3">
      <c r="A1" s="231" t="s">
        <v>377</v>
      </c>
      <c r="B1" s="231"/>
      <c r="C1" s="231"/>
      <c r="D1" s="231"/>
    </row>
    <row r="3" spans="1:4" ht="16.149999999999999" customHeight="1" x14ac:dyDescent="0.25">
      <c r="A3" s="208" t="s">
        <v>378</v>
      </c>
      <c r="B3" s="208"/>
      <c r="C3" s="221" t="s">
        <v>175</v>
      </c>
      <c r="D3" s="221"/>
    </row>
    <row r="4" spans="1:4" ht="16.149999999999999" customHeight="1" x14ac:dyDescent="0.25">
      <c r="A4" s="184" t="s">
        <v>176</v>
      </c>
      <c r="B4" s="148" t="s">
        <v>379</v>
      </c>
      <c r="C4" s="232">
        <v>0.21956561999999999</v>
      </c>
      <c r="D4" s="227"/>
    </row>
    <row r="5" spans="1:4" ht="16.149999999999999" customHeight="1" x14ac:dyDescent="0.25">
      <c r="A5" s="184" t="s">
        <v>176</v>
      </c>
      <c r="B5" s="148" t="s">
        <v>380</v>
      </c>
      <c r="C5" s="232">
        <v>0.39686906999999999</v>
      </c>
      <c r="D5" s="227"/>
    </row>
    <row r="6" spans="1:4" ht="16.149999999999999" customHeight="1" x14ac:dyDescent="0.25">
      <c r="A6" s="184" t="s">
        <v>176</v>
      </c>
      <c r="B6" s="148" t="s">
        <v>381</v>
      </c>
      <c r="C6" s="232">
        <v>0.3835653</v>
      </c>
      <c r="D6" s="227"/>
    </row>
    <row r="7" spans="1:4" ht="16.149999999999999" customHeight="1" x14ac:dyDescent="0.25">
      <c r="A7" s="184" t="s">
        <v>176</v>
      </c>
      <c r="B7" s="172" t="s">
        <v>185</v>
      </c>
      <c r="C7" s="233">
        <v>1</v>
      </c>
      <c r="D7" s="229"/>
    </row>
    <row r="9" spans="1:4" ht="16.149999999999999" customHeight="1" x14ac:dyDescent="0.25">
      <c r="A9" s="208" t="s">
        <v>382</v>
      </c>
      <c r="B9" s="208"/>
      <c r="C9" s="221" t="s">
        <v>175</v>
      </c>
      <c r="D9" s="221"/>
    </row>
    <row r="10" spans="1:4" ht="16.149999999999999" customHeight="1" x14ac:dyDescent="0.25">
      <c r="A10" s="184" t="s">
        <v>176</v>
      </c>
      <c r="B10" s="148" t="s">
        <v>115</v>
      </c>
      <c r="C10" s="232">
        <v>1.8731149999999998E-2</v>
      </c>
      <c r="D10" s="227"/>
    </row>
    <row r="11" spans="1:4" ht="16.149999999999999" customHeight="1" x14ac:dyDescent="0.25">
      <c r="A11" s="184" t="s">
        <v>176</v>
      </c>
      <c r="B11" s="148" t="s">
        <v>118</v>
      </c>
      <c r="C11" s="232">
        <v>5.5770149999999998E-2</v>
      </c>
      <c r="D11" s="227"/>
    </row>
    <row r="12" spans="1:4" ht="16.149999999999999" customHeight="1" x14ac:dyDescent="0.25">
      <c r="A12" s="184" t="s">
        <v>176</v>
      </c>
      <c r="B12" s="148" t="s">
        <v>121</v>
      </c>
      <c r="C12" s="232">
        <v>0.10796868</v>
      </c>
      <c r="D12" s="227"/>
    </row>
    <row r="13" spans="1:4" ht="16.149999999999999" customHeight="1" x14ac:dyDescent="0.25">
      <c r="A13" s="184" t="s">
        <v>176</v>
      </c>
      <c r="B13" s="148" t="s">
        <v>123</v>
      </c>
      <c r="C13" s="232">
        <v>9.6327850000000007E-2</v>
      </c>
      <c r="D13" s="227"/>
    </row>
    <row r="14" spans="1:4" ht="16.149999999999999" customHeight="1" x14ac:dyDescent="0.25">
      <c r="A14" s="184" t="s">
        <v>176</v>
      </c>
      <c r="B14" s="148" t="s">
        <v>125</v>
      </c>
      <c r="C14" s="232">
        <v>0.72120218000000003</v>
      </c>
      <c r="D14" s="227"/>
    </row>
    <row r="15" spans="1:4" ht="16.149999999999999" customHeight="1" x14ac:dyDescent="0.25">
      <c r="A15" s="184" t="s">
        <v>176</v>
      </c>
      <c r="B15" s="172" t="s">
        <v>185</v>
      </c>
      <c r="C15" s="233">
        <v>1</v>
      </c>
      <c r="D15" s="229"/>
    </row>
    <row r="17" spans="1:4" ht="16.149999999999999" customHeight="1" x14ac:dyDescent="0.25">
      <c r="A17" s="208" t="s">
        <v>383</v>
      </c>
      <c r="B17" s="208"/>
      <c r="C17" s="221" t="s">
        <v>175</v>
      </c>
      <c r="D17" s="221"/>
    </row>
    <row r="18" spans="1:4" ht="16.149999999999999" customHeight="1" x14ac:dyDescent="0.25">
      <c r="A18" s="184" t="s">
        <v>176</v>
      </c>
      <c r="B18" s="148" t="s">
        <v>116</v>
      </c>
      <c r="C18" s="232">
        <v>1.292578E-2</v>
      </c>
      <c r="D18" s="227"/>
    </row>
    <row r="19" spans="1:4" ht="16.149999999999999" customHeight="1" x14ac:dyDescent="0.25">
      <c r="A19" s="184" t="s">
        <v>176</v>
      </c>
      <c r="B19" s="148" t="s">
        <v>119</v>
      </c>
      <c r="C19" s="232">
        <v>5.5411349999999998E-2</v>
      </c>
      <c r="D19" s="227"/>
    </row>
    <row r="20" spans="1:4" ht="16.149999999999999" customHeight="1" x14ac:dyDescent="0.25">
      <c r="A20" s="184" t="s">
        <v>176</v>
      </c>
      <c r="B20" s="148" t="s">
        <v>122</v>
      </c>
      <c r="C20" s="232">
        <v>0.40385124999999999</v>
      </c>
      <c r="D20" s="227"/>
    </row>
    <row r="21" spans="1:4" ht="16.149999999999999" customHeight="1" x14ac:dyDescent="0.25">
      <c r="A21" s="184" t="s">
        <v>176</v>
      </c>
      <c r="B21" s="148" t="s">
        <v>124</v>
      </c>
      <c r="C21" s="232">
        <v>0.40912220999999999</v>
      </c>
      <c r="D21" s="227"/>
    </row>
    <row r="22" spans="1:4" ht="16.149999999999999" customHeight="1" x14ac:dyDescent="0.25">
      <c r="A22" s="184" t="s">
        <v>176</v>
      </c>
      <c r="B22" s="148" t="s">
        <v>126</v>
      </c>
      <c r="C22" s="232">
        <v>9.6943399999999992E-3</v>
      </c>
      <c r="D22" s="227"/>
    </row>
    <row r="23" spans="1:4" ht="16.149999999999999" customHeight="1" x14ac:dyDescent="0.25">
      <c r="A23" s="184" t="s">
        <v>176</v>
      </c>
      <c r="B23" s="148" t="s">
        <v>127</v>
      </c>
      <c r="C23" s="232">
        <v>2.7281900000000001E-3</v>
      </c>
      <c r="D23" s="227"/>
    </row>
    <row r="24" spans="1:4" ht="16.149999999999999" customHeight="1" x14ac:dyDescent="0.25">
      <c r="A24" s="184" t="s">
        <v>176</v>
      </c>
      <c r="B24" s="148" t="s">
        <v>128</v>
      </c>
      <c r="C24" s="232">
        <v>0.10626689</v>
      </c>
      <c r="D24" s="227"/>
    </row>
    <row r="25" spans="1:4" ht="16.149999999999999" customHeight="1" x14ac:dyDescent="0.25">
      <c r="A25" s="184" t="s">
        <v>176</v>
      </c>
      <c r="B25" s="172" t="s">
        <v>185</v>
      </c>
      <c r="C25" s="233">
        <v>1</v>
      </c>
      <c r="D25" s="229"/>
    </row>
    <row r="27" spans="1:4" ht="16.149999999999999" customHeight="1" x14ac:dyDescent="0.25">
      <c r="A27" s="208" t="s">
        <v>384</v>
      </c>
      <c r="B27" s="208"/>
      <c r="C27" s="221" t="s">
        <v>175</v>
      </c>
      <c r="D27" s="221"/>
    </row>
    <row r="28" spans="1:4" ht="16.149999999999999" customHeight="1" x14ac:dyDescent="0.25">
      <c r="A28" s="184" t="s">
        <v>176</v>
      </c>
      <c r="B28" s="148" t="s">
        <v>385</v>
      </c>
      <c r="C28" s="232">
        <v>0.86539124999999995</v>
      </c>
      <c r="D28" s="227"/>
    </row>
    <row r="29" spans="1:4" ht="16.149999999999999" customHeight="1" x14ac:dyDescent="0.25">
      <c r="A29" s="184" t="s">
        <v>176</v>
      </c>
      <c r="B29" s="148" t="s">
        <v>386</v>
      </c>
      <c r="C29" s="232">
        <v>5.1476600000000001E-3</v>
      </c>
      <c r="D29" s="227"/>
    </row>
    <row r="30" spans="1:4" ht="16.149999999999999" customHeight="1" x14ac:dyDescent="0.25">
      <c r="A30" s="184" t="s">
        <v>176</v>
      </c>
      <c r="B30" s="148" t="s">
        <v>387</v>
      </c>
      <c r="C30" s="232">
        <v>3.587444E-2</v>
      </c>
      <c r="D30" s="227"/>
    </row>
    <row r="31" spans="1:4" ht="16.149999999999999" customHeight="1" x14ac:dyDescent="0.25">
      <c r="A31" s="184" t="s">
        <v>176</v>
      </c>
      <c r="B31" s="148" t="s">
        <v>388</v>
      </c>
      <c r="C31" s="232">
        <v>9.3586649999999993E-2</v>
      </c>
      <c r="D31" s="227"/>
    </row>
    <row r="32" spans="1:4" ht="16.149999999999999" customHeight="1" x14ac:dyDescent="0.25">
      <c r="A32" s="184" t="s">
        <v>176</v>
      </c>
      <c r="B32" s="172" t="s">
        <v>185</v>
      </c>
      <c r="C32" s="233">
        <v>1</v>
      </c>
      <c r="D32" s="229"/>
    </row>
    <row r="34" spans="1:4" ht="16.149999999999999" customHeight="1" x14ac:dyDescent="0.25">
      <c r="A34" s="208" t="s">
        <v>389</v>
      </c>
      <c r="B34" s="208"/>
      <c r="C34" s="221" t="s">
        <v>175</v>
      </c>
      <c r="D34" s="221"/>
    </row>
    <row r="35" spans="1:4" ht="16.149999999999999" customHeight="1" x14ac:dyDescent="0.25">
      <c r="A35" s="184" t="s">
        <v>176</v>
      </c>
      <c r="B35" s="148" t="s">
        <v>390</v>
      </c>
      <c r="C35" s="232">
        <v>3.6565E-3</v>
      </c>
      <c r="D35" s="227"/>
    </row>
    <row r="36" spans="1:4" ht="31.9" customHeight="1" x14ac:dyDescent="0.25">
      <c r="A36" s="184" t="s">
        <v>176</v>
      </c>
      <c r="B36" s="148" t="s">
        <v>391</v>
      </c>
      <c r="C36" s="232">
        <v>1.2665269999999999E-2</v>
      </c>
      <c r="D36" s="227"/>
    </row>
    <row r="37" spans="1:4" ht="16.149999999999999" customHeight="1" x14ac:dyDescent="0.25">
      <c r="A37" s="184" t="s">
        <v>176</v>
      </c>
      <c r="B37" s="148" t="s">
        <v>392</v>
      </c>
      <c r="C37" s="232">
        <v>4.2393999999999998E-4</v>
      </c>
      <c r="D37" s="227"/>
    </row>
    <row r="38" spans="1:4" ht="16.149999999999999" customHeight="1" x14ac:dyDescent="0.25">
      <c r="A38" s="184" t="s">
        <v>176</v>
      </c>
      <c r="B38" s="148" t="s">
        <v>393</v>
      </c>
      <c r="C38" s="232">
        <v>0.98325428999999998</v>
      </c>
      <c r="D38" s="227"/>
    </row>
    <row r="39" spans="1:4" ht="16.149999999999999" customHeight="1" x14ac:dyDescent="0.25">
      <c r="A39" s="184" t="s">
        <v>176</v>
      </c>
      <c r="B39" s="172" t="s">
        <v>185</v>
      </c>
      <c r="C39" s="233">
        <v>1</v>
      </c>
      <c r="D39" s="229"/>
    </row>
    <row r="41" spans="1:4" ht="31.9" customHeight="1" x14ac:dyDescent="0.25">
      <c r="A41" s="208" t="s">
        <v>394</v>
      </c>
      <c r="B41" s="208"/>
      <c r="C41" s="208" t="s">
        <v>176</v>
      </c>
      <c r="D41" s="208"/>
    </row>
    <row r="42" spans="1:4" ht="16.149999999999999" customHeight="1" x14ac:dyDescent="0.25">
      <c r="A42" s="208" t="s">
        <v>176</v>
      </c>
      <c r="B42" s="208"/>
      <c r="C42" s="208"/>
      <c r="D42" s="208"/>
    </row>
    <row r="43" spans="1:4" ht="16.149999999999999" customHeight="1" x14ac:dyDescent="0.25">
      <c r="A43" s="208" t="s">
        <v>395</v>
      </c>
      <c r="B43" s="208"/>
      <c r="C43" s="221" t="s">
        <v>175</v>
      </c>
      <c r="D43" s="221"/>
    </row>
    <row r="44" spans="1:4" ht="16.149999999999999" customHeight="1" x14ac:dyDescent="0.25">
      <c r="A44" s="184" t="s">
        <v>176</v>
      </c>
      <c r="B44" s="148" t="s">
        <v>285</v>
      </c>
      <c r="C44" s="232">
        <v>2.8662420000000001E-2</v>
      </c>
      <c r="D44" s="227"/>
    </row>
    <row r="45" spans="1:4" ht="16.149999999999999" customHeight="1" x14ac:dyDescent="0.25">
      <c r="A45" s="184" t="s">
        <v>176</v>
      </c>
      <c r="B45" s="148" t="s">
        <v>286</v>
      </c>
      <c r="C45" s="232">
        <v>0.97133758000000003</v>
      </c>
      <c r="D45" s="227"/>
    </row>
    <row r="46" spans="1:4" ht="16.149999999999999" customHeight="1" x14ac:dyDescent="0.25">
      <c r="A46" s="184" t="s">
        <v>176</v>
      </c>
      <c r="B46" s="172" t="s">
        <v>185</v>
      </c>
      <c r="C46" s="233">
        <v>1</v>
      </c>
      <c r="D46" s="229"/>
    </row>
    <row r="48" spans="1:4" ht="16.149999999999999" customHeight="1" x14ac:dyDescent="0.25">
      <c r="A48" s="208" t="s">
        <v>396</v>
      </c>
      <c r="B48" s="208"/>
      <c r="C48" s="221" t="s">
        <v>175</v>
      </c>
      <c r="D48" s="221"/>
    </row>
    <row r="49" spans="1:4" ht="16.149999999999999" customHeight="1" x14ac:dyDescent="0.25">
      <c r="A49" s="184" t="s">
        <v>176</v>
      </c>
      <c r="B49" s="148" t="s">
        <v>397</v>
      </c>
      <c r="C49" s="232">
        <v>3.0661899999999999E-3</v>
      </c>
      <c r="D49" s="227"/>
    </row>
    <row r="50" spans="1:4" ht="16.149999999999999" customHeight="1" x14ac:dyDescent="0.25">
      <c r="A50" s="184" t="s">
        <v>176</v>
      </c>
      <c r="B50" s="148" t="s">
        <v>398</v>
      </c>
      <c r="C50" s="232">
        <v>6.045147E-2</v>
      </c>
      <c r="D50" s="227"/>
    </row>
    <row r="51" spans="1:4" ht="16.149999999999999" customHeight="1" x14ac:dyDescent="0.25">
      <c r="A51" s="184" t="s">
        <v>176</v>
      </c>
      <c r="B51" s="148" t="s">
        <v>399</v>
      </c>
      <c r="C51" s="232">
        <v>5.2891729999999998E-2</v>
      </c>
      <c r="D51" s="227"/>
    </row>
    <row r="52" spans="1:4" ht="16.149999999999999" customHeight="1" x14ac:dyDescent="0.25">
      <c r="A52" s="184" t="s">
        <v>176</v>
      </c>
      <c r="B52" s="148" t="s">
        <v>400</v>
      </c>
      <c r="C52" s="232">
        <v>0.13663037</v>
      </c>
      <c r="D52" s="227"/>
    </row>
    <row r="53" spans="1:4" ht="16.149999999999999" customHeight="1" x14ac:dyDescent="0.25">
      <c r="A53" s="184" t="s">
        <v>176</v>
      </c>
      <c r="B53" s="148" t="s">
        <v>401</v>
      </c>
      <c r="C53" s="232">
        <v>0.20289702000000001</v>
      </c>
      <c r="D53" s="227"/>
    </row>
    <row r="54" spans="1:4" ht="16.149999999999999" customHeight="1" x14ac:dyDescent="0.25">
      <c r="A54" s="184" t="s">
        <v>176</v>
      </c>
      <c r="B54" s="148" t="s">
        <v>402</v>
      </c>
      <c r="C54" s="232">
        <v>0.15949461000000001</v>
      </c>
      <c r="D54" s="227"/>
    </row>
    <row r="55" spans="1:4" ht="16.149999999999999" customHeight="1" x14ac:dyDescent="0.25">
      <c r="A55" s="184" t="s">
        <v>176</v>
      </c>
      <c r="B55" s="148" t="s">
        <v>403</v>
      </c>
      <c r="C55" s="232">
        <v>0.38456862000000003</v>
      </c>
      <c r="D55" s="227"/>
    </row>
    <row r="56" spans="1:4" ht="16.149999999999999" customHeight="1" x14ac:dyDescent="0.25">
      <c r="A56" s="184" t="s">
        <v>176</v>
      </c>
      <c r="B56" s="172" t="s">
        <v>185</v>
      </c>
      <c r="C56" s="233">
        <v>1</v>
      </c>
      <c r="D56" s="229"/>
    </row>
    <row r="58" spans="1:4" ht="16.149999999999999" customHeight="1" x14ac:dyDescent="0.25">
      <c r="A58" s="208" t="s">
        <v>404</v>
      </c>
      <c r="B58" s="208"/>
      <c r="C58" s="221" t="s">
        <v>175</v>
      </c>
      <c r="D58" s="221"/>
    </row>
    <row r="59" spans="1:4" ht="16.149999999999999" customHeight="1" x14ac:dyDescent="0.25">
      <c r="A59" s="184" t="s">
        <v>176</v>
      </c>
      <c r="B59" s="148" t="s">
        <v>397</v>
      </c>
      <c r="C59" s="232">
        <v>9.9555200000000007E-3</v>
      </c>
      <c r="D59" s="227"/>
    </row>
    <row r="60" spans="1:4" ht="16.149999999999999" customHeight="1" x14ac:dyDescent="0.25">
      <c r="A60" s="184" t="s">
        <v>176</v>
      </c>
      <c r="B60" s="148" t="s">
        <v>398</v>
      </c>
      <c r="C60" s="232">
        <v>9.9422789999999997E-2</v>
      </c>
      <c r="D60" s="227"/>
    </row>
    <row r="61" spans="1:4" ht="16.149999999999999" customHeight="1" x14ac:dyDescent="0.25">
      <c r="A61" s="184" t="s">
        <v>176</v>
      </c>
      <c r="B61" s="148" t="s">
        <v>399</v>
      </c>
      <c r="C61" s="232">
        <v>6.688202E-2</v>
      </c>
      <c r="D61" s="227"/>
    </row>
    <row r="62" spans="1:4" ht="16.149999999999999" customHeight="1" x14ac:dyDescent="0.25">
      <c r="A62" s="184" t="s">
        <v>176</v>
      </c>
      <c r="B62" s="148" t="s">
        <v>400</v>
      </c>
      <c r="C62" s="232">
        <v>0.15354267999999999</v>
      </c>
      <c r="D62" s="227"/>
    </row>
    <row r="63" spans="1:4" ht="16.149999999999999" customHeight="1" x14ac:dyDescent="0.25">
      <c r="A63" s="184" t="s">
        <v>176</v>
      </c>
      <c r="B63" s="148" t="s">
        <v>401</v>
      </c>
      <c r="C63" s="232">
        <v>0.20061957</v>
      </c>
      <c r="D63" s="227"/>
    </row>
    <row r="64" spans="1:4" ht="16.149999999999999" customHeight="1" x14ac:dyDescent="0.25">
      <c r="A64" s="184" t="s">
        <v>176</v>
      </c>
      <c r="B64" s="148" t="s">
        <v>402</v>
      </c>
      <c r="C64" s="232">
        <v>0.14845901</v>
      </c>
      <c r="D64" s="227"/>
    </row>
    <row r="65" spans="1:4" ht="16.149999999999999" customHeight="1" x14ac:dyDescent="0.25">
      <c r="A65" s="184" t="s">
        <v>176</v>
      </c>
      <c r="B65" s="148" t="s">
        <v>403</v>
      </c>
      <c r="C65" s="232">
        <v>0.32111841000000002</v>
      </c>
      <c r="D65" s="227"/>
    </row>
    <row r="66" spans="1:4" ht="16.149999999999999" customHeight="1" x14ac:dyDescent="0.25">
      <c r="A66" s="184" t="s">
        <v>176</v>
      </c>
      <c r="B66" s="172" t="s">
        <v>185</v>
      </c>
      <c r="C66" s="233">
        <v>1</v>
      </c>
      <c r="D66" s="229"/>
    </row>
    <row r="68" spans="1:4" ht="31.9" customHeight="1" x14ac:dyDescent="0.25">
      <c r="A68" s="208" t="s">
        <v>405</v>
      </c>
      <c r="B68" s="208"/>
      <c r="C68" s="208" t="s">
        <v>176</v>
      </c>
      <c r="D68" s="208"/>
    </row>
    <row r="69" spans="1:4" ht="64.900000000000006" customHeight="1" x14ac:dyDescent="0.25">
      <c r="A69" s="208" t="s">
        <v>406</v>
      </c>
      <c r="B69" s="208"/>
      <c r="C69" s="146" t="s">
        <v>407</v>
      </c>
      <c r="D69" s="146" t="s">
        <v>408</v>
      </c>
    </row>
    <row r="70" spans="1:4" ht="16.149999999999999" customHeight="1" x14ac:dyDescent="0.25">
      <c r="A70" s="184" t="s">
        <v>176</v>
      </c>
      <c r="B70" s="148" t="s">
        <v>286</v>
      </c>
      <c r="C70" s="150">
        <v>0.79892443999999996</v>
      </c>
      <c r="D70" s="150">
        <v>0.76623806999999999</v>
      </c>
    </row>
    <row r="71" spans="1:4" ht="16.149999999999999" customHeight="1" x14ac:dyDescent="0.25">
      <c r="A71" s="184" t="s">
        <v>176</v>
      </c>
      <c r="B71" s="148" t="s">
        <v>409</v>
      </c>
      <c r="C71" s="150">
        <v>8.0828179999999999E-2</v>
      </c>
      <c r="D71" s="150">
        <v>9.0889020000000001E-2</v>
      </c>
    </row>
    <row r="72" spans="1:4" ht="16.149999999999999" customHeight="1" x14ac:dyDescent="0.25">
      <c r="A72" s="184" t="s">
        <v>176</v>
      </c>
      <c r="B72" s="148" t="s">
        <v>410</v>
      </c>
      <c r="C72" s="150">
        <v>8.800753E-2</v>
      </c>
      <c r="D72" s="150">
        <v>9.8835610000000004E-2</v>
      </c>
    </row>
    <row r="73" spans="1:4" ht="16.149999999999999" customHeight="1" x14ac:dyDescent="0.25">
      <c r="A73" s="184" t="s">
        <v>176</v>
      </c>
      <c r="B73" s="148" t="s">
        <v>411</v>
      </c>
      <c r="C73" s="150">
        <v>1.6456040000000002E-2</v>
      </c>
      <c r="D73" s="150">
        <v>2.0501080000000001E-2</v>
      </c>
    </row>
    <row r="74" spans="1:4" ht="16.149999999999999" customHeight="1" x14ac:dyDescent="0.25">
      <c r="A74" s="184" t="s">
        <v>176</v>
      </c>
      <c r="B74" s="148" t="s">
        <v>412</v>
      </c>
      <c r="C74" s="150">
        <v>1.5783809999999999E-2</v>
      </c>
      <c r="D74" s="150">
        <v>2.3536230000000002E-2</v>
      </c>
    </row>
    <row r="75" spans="1:4" ht="16.149999999999999" customHeight="1" x14ac:dyDescent="0.25">
      <c r="A75" s="184" t="s">
        <v>176</v>
      </c>
      <c r="B75" s="172" t="s">
        <v>185</v>
      </c>
      <c r="C75" s="154">
        <v>1</v>
      </c>
      <c r="D75" s="154">
        <v>1</v>
      </c>
    </row>
    <row r="77" spans="1:4" ht="31.9" customHeight="1" x14ac:dyDescent="0.25">
      <c r="A77" s="208" t="s">
        <v>413</v>
      </c>
      <c r="B77" s="208"/>
      <c r="C77" s="208" t="s">
        <v>176</v>
      </c>
      <c r="D77" s="208"/>
    </row>
    <row r="78" spans="1:4" ht="16.149999999999999" customHeight="1" x14ac:dyDescent="0.25">
      <c r="A78" s="208" t="s">
        <v>176</v>
      </c>
      <c r="B78" s="208"/>
      <c r="C78" s="208"/>
      <c r="D78" s="208"/>
    </row>
    <row r="79" spans="1:4" ht="16.149999999999999" customHeight="1" x14ac:dyDescent="0.25">
      <c r="A79" s="208" t="s">
        <v>414</v>
      </c>
      <c r="B79" s="208"/>
      <c r="C79" s="221" t="s">
        <v>175</v>
      </c>
      <c r="D79" s="221"/>
    </row>
    <row r="80" spans="1:4" ht="16.149999999999999" customHeight="1" x14ac:dyDescent="0.25">
      <c r="A80" s="184" t="s">
        <v>176</v>
      </c>
      <c r="B80" s="148" t="s">
        <v>285</v>
      </c>
      <c r="C80" s="232">
        <v>0.30282468000000001</v>
      </c>
      <c r="D80" s="227"/>
    </row>
    <row r="81" spans="1:4" ht="16.149999999999999" customHeight="1" x14ac:dyDescent="0.25">
      <c r="A81" s="184" t="s">
        <v>176</v>
      </c>
      <c r="B81" s="148" t="s">
        <v>286</v>
      </c>
      <c r="C81" s="232">
        <v>0.69717532000000004</v>
      </c>
      <c r="D81" s="227"/>
    </row>
    <row r="82" spans="1:4" ht="16.149999999999999" customHeight="1" x14ac:dyDescent="0.25">
      <c r="A82" s="184" t="s">
        <v>176</v>
      </c>
      <c r="B82" s="172" t="s">
        <v>185</v>
      </c>
      <c r="C82" s="233">
        <v>1</v>
      </c>
      <c r="D82" s="229"/>
    </row>
    <row r="84" spans="1:4" ht="31.9" customHeight="1" x14ac:dyDescent="0.25">
      <c r="A84" s="208" t="s">
        <v>415</v>
      </c>
      <c r="B84" s="208"/>
      <c r="C84" s="208" t="s">
        <v>176</v>
      </c>
      <c r="D84" s="208"/>
    </row>
    <row r="85" spans="1:4" ht="64.900000000000006" customHeight="1" x14ac:dyDescent="0.25">
      <c r="A85" s="208" t="s">
        <v>416</v>
      </c>
      <c r="B85" s="208"/>
      <c r="C85" s="146" t="s">
        <v>407</v>
      </c>
      <c r="D85" s="146" t="s">
        <v>408</v>
      </c>
    </row>
    <row r="86" spans="1:4" ht="16.149999999999999" customHeight="1" x14ac:dyDescent="0.25">
      <c r="A86" s="184" t="s">
        <v>176</v>
      </c>
      <c r="B86" s="148" t="s">
        <v>397</v>
      </c>
      <c r="C86" s="150">
        <v>3.6781479999999998E-2</v>
      </c>
      <c r="D86" s="150">
        <v>4.5672879999999999E-2</v>
      </c>
    </row>
    <row r="87" spans="1:4" ht="16.149999999999999" customHeight="1" x14ac:dyDescent="0.25">
      <c r="A87" s="184" t="s">
        <v>176</v>
      </c>
      <c r="B87" s="148" t="s">
        <v>417</v>
      </c>
      <c r="C87" s="150">
        <v>3.9090510000000002E-2</v>
      </c>
      <c r="D87" s="150">
        <v>4.4145820000000002E-2</v>
      </c>
    </row>
    <row r="88" spans="1:4" ht="16.149999999999999" customHeight="1" x14ac:dyDescent="0.25">
      <c r="A88" s="184" t="s">
        <v>176</v>
      </c>
      <c r="B88" s="148" t="s">
        <v>418</v>
      </c>
      <c r="C88" s="150">
        <v>6.8401610000000002E-2</v>
      </c>
      <c r="D88" s="150">
        <v>6.6468609999999997E-2</v>
      </c>
    </row>
    <row r="89" spans="1:4" ht="16.149999999999999" customHeight="1" x14ac:dyDescent="0.25">
      <c r="A89" s="184" t="s">
        <v>176</v>
      </c>
      <c r="B89" s="148" t="s">
        <v>419</v>
      </c>
      <c r="C89" s="150">
        <v>6.5875260000000005E-2</v>
      </c>
      <c r="D89" s="150">
        <v>6.1804150000000002E-2</v>
      </c>
    </row>
    <row r="90" spans="1:4" ht="16.149999999999999" customHeight="1" x14ac:dyDescent="0.25">
      <c r="A90" s="184" t="s">
        <v>176</v>
      </c>
      <c r="B90" s="148" t="s">
        <v>420</v>
      </c>
      <c r="C90" s="150">
        <v>4.2295989999999999E-2</v>
      </c>
      <c r="D90" s="150">
        <v>4.1341589999999998E-2</v>
      </c>
    </row>
    <row r="91" spans="1:4" ht="16.149999999999999" customHeight="1" x14ac:dyDescent="0.25">
      <c r="A91" s="184" t="s">
        <v>176</v>
      </c>
      <c r="B91" s="148" t="s">
        <v>421</v>
      </c>
      <c r="C91" s="150">
        <v>8.1658149999999999E-2</v>
      </c>
      <c r="D91" s="150">
        <v>7.7824359999999995E-2</v>
      </c>
    </row>
    <row r="92" spans="1:4" ht="16.149999999999999" customHeight="1" x14ac:dyDescent="0.25">
      <c r="A92" s="184" t="s">
        <v>176</v>
      </c>
      <c r="B92" s="148" t="s">
        <v>422</v>
      </c>
      <c r="C92" s="150">
        <v>0.66589699000000002</v>
      </c>
      <c r="D92" s="150">
        <v>0.66274259000000002</v>
      </c>
    </row>
    <row r="93" spans="1:4" ht="16.149999999999999" customHeight="1" x14ac:dyDescent="0.25">
      <c r="A93" s="184" t="s">
        <v>176</v>
      </c>
      <c r="B93" s="172" t="s">
        <v>185</v>
      </c>
      <c r="C93" s="154">
        <v>1</v>
      </c>
      <c r="D93" s="154">
        <v>1</v>
      </c>
    </row>
    <row r="95" spans="1:4" ht="31.9" customHeight="1" x14ac:dyDescent="0.25">
      <c r="A95" s="208" t="s">
        <v>423</v>
      </c>
      <c r="B95" s="208"/>
      <c r="C95" s="208" t="s">
        <v>176</v>
      </c>
      <c r="D95" s="208"/>
    </row>
    <row r="96" spans="1:4" ht="16.149999999999999" customHeight="1" x14ac:dyDescent="0.25">
      <c r="A96" s="208" t="s">
        <v>176</v>
      </c>
      <c r="B96" s="208"/>
      <c r="C96" s="208"/>
      <c r="D96" s="208"/>
    </row>
    <row r="97" spans="1:4" ht="16.149999999999999" customHeight="1" x14ac:dyDescent="0.25">
      <c r="A97" s="208" t="s">
        <v>424</v>
      </c>
      <c r="B97" s="208"/>
      <c r="C97" s="221" t="s">
        <v>175</v>
      </c>
      <c r="D97" s="221"/>
    </row>
    <row r="98" spans="1:4" ht="16.149999999999999" customHeight="1" x14ac:dyDescent="0.25">
      <c r="A98" s="184" t="s">
        <v>176</v>
      </c>
      <c r="B98" s="148" t="s">
        <v>285</v>
      </c>
      <c r="C98" s="232">
        <v>0.39099858999999998</v>
      </c>
      <c r="D98" s="227"/>
    </row>
    <row r="99" spans="1:4" ht="16.149999999999999" customHeight="1" x14ac:dyDescent="0.25">
      <c r="A99" s="184" t="s">
        <v>176</v>
      </c>
      <c r="B99" s="148" t="s">
        <v>286</v>
      </c>
      <c r="C99" s="232">
        <v>0.60900140999999997</v>
      </c>
      <c r="D99" s="227"/>
    </row>
    <row r="100" spans="1:4" ht="16.149999999999999" customHeight="1" x14ac:dyDescent="0.25">
      <c r="A100" s="184" t="s">
        <v>176</v>
      </c>
      <c r="B100" s="172" t="s">
        <v>185</v>
      </c>
      <c r="C100" s="233">
        <v>1</v>
      </c>
      <c r="D100" s="229"/>
    </row>
    <row r="102" spans="1:4" ht="21" customHeight="1" x14ac:dyDescent="0.3">
      <c r="A102" s="231" t="s">
        <v>425</v>
      </c>
      <c r="B102" s="231"/>
      <c r="C102" s="231"/>
      <c r="D102" s="231"/>
    </row>
    <row r="104" spans="1:4" ht="16.149999999999999" customHeight="1" x14ac:dyDescent="0.25">
      <c r="A104" s="208" t="s">
        <v>426</v>
      </c>
      <c r="B104" s="208"/>
      <c r="C104" s="221" t="s">
        <v>175</v>
      </c>
      <c r="D104" s="221"/>
    </row>
    <row r="105" spans="1:4" ht="16.149999999999999" customHeight="1" x14ac:dyDescent="0.25">
      <c r="A105" s="184" t="s">
        <v>176</v>
      </c>
      <c r="B105" s="148" t="s">
        <v>285</v>
      </c>
      <c r="C105" s="232">
        <v>0.10593768000000001</v>
      </c>
      <c r="D105" s="227"/>
    </row>
    <row r="106" spans="1:4" ht="16.149999999999999" customHeight="1" x14ac:dyDescent="0.25">
      <c r="A106" s="184" t="s">
        <v>176</v>
      </c>
      <c r="B106" s="148" t="s">
        <v>286</v>
      </c>
      <c r="C106" s="232">
        <v>0.89406231999999997</v>
      </c>
      <c r="D106" s="227"/>
    </row>
    <row r="107" spans="1:4" ht="16.149999999999999" customHeight="1" x14ac:dyDescent="0.25">
      <c r="A107" s="184" t="s">
        <v>176</v>
      </c>
      <c r="B107" s="172" t="s">
        <v>185</v>
      </c>
      <c r="C107" s="233">
        <v>1</v>
      </c>
      <c r="D107" s="229"/>
    </row>
    <row r="109" spans="1:4" ht="16.149999999999999" customHeight="1" x14ac:dyDescent="0.25">
      <c r="A109" s="208" t="s">
        <v>427</v>
      </c>
      <c r="B109" s="208"/>
      <c r="C109" s="221" t="s">
        <v>175</v>
      </c>
      <c r="D109" s="221"/>
    </row>
    <row r="110" spans="1:4" ht="16.149999999999999" customHeight="1" x14ac:dyDescent="0.25">
      <c r="A110" s="184" t="s">
        <v>176</v>
      </c>
      <c r="B110" s="148" t="s">
        <v>114</v>
      </c>
      <c r="C110" s="232">
        <v>0.68231737000000003</v>
      </c>
      <c r="D110" s="227"/>
    </row>
    <row r="111" spans="1:4" ht="16.149999999999999" customHeight="1" x14ac:dyDescent="0.25">
      <c r="A111" s="184" t="s">
        <v>176</v>
      </c>
      <c r="B111" s="148" t="s">
        <v>117</v>
      </c>
      <c r="C111" s="232">
        <v>0.20038793999999999</v>
      </c>
      <c r="D111" s="227"/>
    </row>
    <row r="112" spans="1:4" ht="16.149999999999999" customHeight="1" x14ac:dyDescent="0.25">
      <c r="A112" s="184" t="s">
        <v>176</v>
      </c>
      <c r="B112" s="148" t="s">
        <v>120</v>
      </c>
      <c r="C112" s="232">
        <v>0.11729468999999999</v>
      </c>
      <c r="D112" s="227"/>
    </row>
    <row r="113" spans="1:4" ht="16.149999999999999" customHeight="1" x14ac:dyDescent="0.25">
      <c r="A113" s="184" t="s">
        <v>176</v>
      </c>
      <c r="B113" s="172" t="s">
        <v>185</v>
      </c>
      <c r="C113" s="233">
        <v>1</v>
      </c>
      <c r="D113" s="229"/>
    </row>
    <row r="115" spans="1:4" ht="16.149999999999999" customHeight="1" x14ac:dyDescent="0.25">
      <c r="A115" s="208" t="s">
        <v>428</v>
      </c>
      <c r="B115" s="208"/>
      <c r="C115" s="221" t="s">
        <v>175</v>
      </c>
      <c r="D115" s="221"/>
    </row>
    <row r="116" spans="1:4" ht="16.149999999999999" customHeight="1" x14ac:dyDescent="0.25">
      <c r="A116" s="184" t="s">
        <v>176</v>
      </c>
      <c r="B116" s="148" t="s">
        <v>429</v>
      </c>
      <c r="C116" s="232">
        <v>2.385818E-2</v>
      </c>
      <c r="D116" s="227"/>
    </row>
    <row r="117" spans="1:4" ht="16.149999999999999" customHeight="1" x14ac:dyDescent="0.25">
      <c r="A117" s="184" t="s">
        <v>176</v>
      </c>
      <c r="B117" s="148" t="s">
        <v>430</v>
      </c>
      <c r="C117" s="232">
        <v>0.15466394</v>
      </c>
      <c r="D117" s="227"/>
    </row>
    <row r="118" spans="1:4" ht="16.149999999999999" customHeight="1" x14ac:dyDescent="0.25">
      <c r="A118" s="184" t="s">
        <v>176</v>
      </c>
      <c r="B118" s="148" t="s">
        <v>431</v>
      </c>
      <c r="C118" s="232">
        <v>0.23195449000000001</v>
      </c>
      <c r="D118" s="227"/>
    </row>
    <row r="119" spans="1:4" ht="16.149999999999999" customHeight="1" x14ac:dyDescent="0.25">
      <c r="A119" s="184" t="s">
        <v>176</v>
      </c>
      <c r="B119" s="148" t="s">
        <v>432</v>
      </c>
      <c r="C119" s="232">
        <v>0.38772297999999999</v>
      </c>
      <c r="D119" s="227"/>
    </row>
    <row r="120" spans="1:4" ht="16.149999999999999" customHeight="1" x14ac:dyDescent="0.25">
      <c r="A120" s="184" t="s">
        <v>176</v>
      </c>
      <c r="B120" s="148" t="s">
        <v>433</v>
      </c>
      <c r="C120" s="232">
        <v>0.20180041000000001</v>
      </c>
      <c r="D120" s="227"/>
    </row>
    <row r="121" spans="1:4" ht="16.149999999999999" customHeight="1" x14ac:dyDescent="0.25">
      <c r="A121" s="184" t="s">
        <v>176</v>
      </c>
      <c r="B121" s="172" t="s">
        <v>185</v>
      </c>
      <c r="C121" s="233">
        <v>1</v>
      </c>
      <c r="D121" s="229"/>
    </row>
    <row r="123" spans="1:4" ht="16.149999999999999" customHeight="1" x14ac:dyDescent="0.25">
      <c r="A123" s="208" t="s">
        <v>434</v>
      </c>
      <c r="B123" s="208"/>
      <c r="C123" s="221" t="s">
        <v>175</v>
      </c>
      <c r="D123" s="221"/>
    </row>
    <row r="124" spans="1:4" ht="16.149999999999999" customHeight="1" x14ac:dyDescent="0.25">
      <c r="A124" s="184" t="s">
        <v>176</v>
      </c>
      <c r="B124" s="148" t="s">
        <v>435</v>
      </c>
      <c r="C124" s="232">
        <v>6.9281930000000005E-2</v>
      </c>
      <c r="D124" s="227"/>
    </row>
    <row r="125" spans="1:4" ht="16.149999999999999" customHeight="1" x14ac:dyDescent="0.25">
      <c r="A125" s="184" t="s">
        <v>176</v>
      </c>
      <c r="B125" s="148" t="s">
        <v>436</v>
      </c>
      <c r="C125" s="232">
        <v>0.26358082999999999</v>
      </c>
      <c r="D125" s="227"/>
    </row>
    <row r="126" spans="1:4" ht="16.149999999999999" customHeight="1" x14ac:dyDescent="0.25">
      <c r="A126" s="184" t="s">
        <v>176</v>
      </c>
      <c r="B126" s="148" t="s">
        <v>103</v>
      </c>
      <c r="C126" s="232">
        <v>0.39408172000000002</v>
      </c>
      <c r="D126" s="227"/>
    </row>
    <row r="127" spans="1:4" ht="16.149999999999999" customHeight="1" x14ac:dyDescent="0.25">
      <c r="A127" s="184" t="s">
        <v>176</v>
      </c>
      <c r="B127" s="148" t="s">
        <v>437</v>
      </c>
      <c r="C127" s="232">
        <v>0.27305552</v>
      </c>
      <c r="D127" s="227"/>
    </row>
    <row r="128" spans="1:4" ht="16.149999999999999" customHeight="1" x14ac:dyDescent="0.25">
      <c r="A128" s="184" t="s">
        <v>176</v>
      </c>
      <c r="B128" s="172" t="s">
        <v>185</v>
      </c>
      <c r="C128" s="233">
        <v>1</v>
      </c>
      <c r="D128" s="229"/>
    </row>
    <row r="130" spans="1:4" ht="16.149999999999999" customHeight="1" x14ac:dyDescent="0.25">
      <c r="A130" s="208" t="s">
        <v>438</v>
      </c>
      <c r="B130" s="208"/>
      <c r="C130" s="221" t="s">
        <v>175</v>
      </c>
      <c r="D130" s="221"/>
    </row>
    <row r="131" spans="1:4" ht="16.149999999999999" customHeight="1" x14ac:dyDescent="0.25">
      <c r="A131" s="184" t="s">
        <v>176</v>
      </c>
      <c r="B131" s="148" t="s">
        <v>285</v>
      </c>
      <c r="C131" s="232">
        <v>0.12688377000000001</v>
      </c>
      <c r="D131" s="227"/>
    </row>
    <row r="132" spans="1:4" ht="16.149999999999999" customHeight="1" x14ac:dyDescent="0.25">
      <c r="A132" s="184" t="s">
        <v>176</v>
      </c>
      <c r="B132" s="148" t="s">
        <v>286</v>
      </c>
      <c r="C132" s="232">
        <v>0.87311623000000005</v>
      </c>
      <c r="D132" s="227"/>
    </row>
    <row r="133" spans="1:4" ht="16.149999999999999" customHeight="1" x14ac:dyDescent="0.25">
      <c r="A133" s="184" t="s">
        <v>176</v>
      </c>
      <c r="B133" s="172" t="s">
        <v>185</v>
      </c>
      <c r="C133" s="233">
        <v>1</v>
      </c>
      <c r="D133" s="229"/>
    </row>
    <row r="135" spans="1:4" ht="16.149999999999999" customHeight="1" x14ac:dyDescent="0.25">
      <c r="A135" s="208" t="s">
        <v>389</v>
      </c>
      <c r="B135" s="208"/>
      <c r="C135" s="221" t="s">
        <v>175</v>
      </c>
      <c r="D135" s="221"/>
    </row>
    <row r="136" spans="1:4" ht="16.149999999999999" customHeight="1" x14ac:dyDescent="0.25">
      <c r="A136" s="184" t="s">
        <v>176</v>
      </c>
      <c r="B136" s="148" t="s">
        <v>439</v>
      </c>
      <c r="C136" s="232">
        <v>0.42231990000000003</v>
      </c>
      <c r="D136" s="227"/>
    </row>
    <row r="137" spans="1:4" ht="16.149999999999999" customHeight="1" x14ac:dyDescent="0.25">
      <c r="A137" s="184" t="s">
        <v>176</v>
      </c>
      <c r="B137" s="148" t="s">
        <v>67</v>
      </c>
      <c r="C137" s="232">
        <v>0.57768010000000003</v>
      </c>
      <c r="D137" s="227"/>
    </row>
    <row r="138" spans="1:4" ht="16.149999999999999" customHeight="1" x14ac:dyDescent="0.25">
      <c r="A138" s="184" t="s">
        <v>176</v>
      </c>
      <c r="B138" s="172" t="s">
        <v>185</v>
      </c>
      <c r="C138" s="233">
        <v>1</v>
      </c>
      <c r="D138" s="229"/>
    </row>
    <row r="140" spans="1:4" ht="16.149999999999999" customHeight="1" x14ac:dyDescent="0.25">
      <c r="A140" s="208" t="s">
        <v>440</v>
      </c>
      <c r="B140" s="208"/>
      <c r="C140" s="221" t="s">
        <v>175</v>
      </c>
      <c r="D140" s="221"/>
    </row>
    <row r="141" spans="1:4" ht="16.149999999999999" customHeight="1" x14ac:dyDescent="0.25">
      <c r="A141" s="184" t="s">
        <v>176</v>
      </c>
      <c r="B141" s="148" t="s">
        <v>285</v>
      </c>
      <c r="C141" s="232">
        <v>3.51053E-3</v>
      </c>
      <c r="D141" s="227"/>
    </row>
    <row r="142" spans="1:4" ht="16.149999999999999" customHeight="1" x14ac:dyDescent="0.25">
      <c r="A142" s="184" t="s">
        <v>176</v>
      </c>
      <c r="B142" s="148" t="s">
        <v>286</v>
      </c>
      <c r="C142" s="232">
        <v>0.99648946999999999</v>
      </c>
      <c r="D142" s="227"/>
    </row>
    <row r="143" spans="1:4" ht="16.149999999999999" customHeight="1" x14ac:dyDescent="0.25">
      <c r="A143" s="184" t="s">
        <v>176</v>
      </c>
      <c r="B143" s="172" t="s">
        <v>185</v>
      </c>
      <c r="C143" s="233">
        <v>1</v>
      </c>
      <c r="D143" s="229"/>
    </row>
    <row r="145" spans="1:4" ht="16.149999999999999" customHeight="1" x14ac:dyDescent="0.25">
      <c r="A145" s="208" t="s">
        <v>441</v>
      </c>
      <c r="B145" s="208"/>
      <c r="C145" s="221" t="s">
        <v>175</v>
      </c>
      <c r="D145" s="221"/>
    </row>
    <row r="146" spans="1:4" ht="16.149999999999999" customHeight="1" x14ac:dyDescent="0.25">
      <c r="A146" s="184" t="s">
        <v>176</v>
      </c>
      <c r="B146" s="148" t="s">
        <v>442</v>
      </c>
      <c r="C146" s="232">
        <v>0.94236434000000002</v>
      </c>
      <c r="D146" s="227"/>
    </row>
    <row r="147" spans="1:4" ht="16.149999999999999" customHeight="1" x14ac:dyDescent="0.25">
      <c r="A147" s="184" t="s">
        <v>176</v>
      </c>
      <c r="B147" s="148" t="s">
        <v>443</v>
      </c>
      <c r="C147" s="232">
        <v>2.7670779999999999E-2</v>
      </c>
      <c r="D147" s="227"/>
    </row>
    <row r="148" spans="1:4" ht="16.149999999999999" customHeight="1" x14ac:dyDescent="0.25">
      <c r="A148" s="184" t="s">
        <v>176</v>
      </c>
      <c r="B148" s="148" t="s">
        <v>444</v>
      </c>
      <c r="C148" s="232">
        <v>1.070579E-2</v>
      </c>
      <c r="D148" s="227"/>
    </row>
    <row r="149" spans="1:4" ht="16.149999999999999" customHeight="1" x14ac:dyDescent="0.25">
      <c r="A149" s="184" t="s">
        <v>176</v>
      </c>
      <c r="B149" s="148" t="s">
        <v>445</v>
      </c>
      <c r="C149" s="232">
        <v>1.925909E-2</v>
      </c>
      <c r="D149" s="227"/>
    </row>
    <row r="150" spans="1:4" ht="16.149999999999999" customHeight="1" x14ac:dyDescent="0.25">
      <c r="A150" s="184" t="s">
        <v>176</v>
      </c>
      <c r="B150" s="172" t="s">
        <v>185</v>
      </c>
      <c r="C150" s="233">
        <v>1</v>
      </c>
      <c r="D150" s="229"/>
    </row>
    <row r="152" spans="1:4" ht="16.149999999999999" customHeight="1" x14ac:dyDescent="0.2">
      <c r="A152" s="145" t="s">
        <v>446</v>
      </c>
    </row>
    <row r="153" spans="1:4" ht="16.149999999999999" customHeight="1" x14ac:dyDescent="0.2">
      <c r="A153" s="145" t="s">
        <v>447</v>
      </c>
    </row>
    <row r="154" spans="1:4" ht="16.149999999999999" customHeight="1" x14ac:dyDescent="0.2">
      <c r="A154" s="145" t="s">
        <v>172</v>
      </c>
    </row>
  </sheetData>
  <sheetProtection algorithmName="SHA-512" hashValue="V8bWOUWbKkF4FkiI/jV4bw8Vg17xa9ZHc9sHxMLlTs7fN/0GXmRg1hSUR8mlerpmzrD8KjWlX9qosFa4utPJ7w==" saltValue="8AId3Y/D3mYIs7bdZGeGxA==" spinCount="100000" sheet="1" objects="1" scenarios="1"/>
  <mergeCells count="138">
    <mergeCell ref="C149:D149"/>
    <mergeCell ref="C150:D150"/>
    <mergeCell ref="C143:D143"/>
    <mergeCell ref="A145:B145"/>
    <mergeCell ref="C145:D145"/>
    <mergeCell ref="C146:D146"/>
    <mergeCell ref="C147:D147"/>
    <mergeCell ref="C148:D148"/>
    <mergeCell ref="C137:D137"/>
    <mergeCell ref="C138:D138"/>
    <mergeCell ref="A140:B140"/>
    <mergeCell ref="C140:D140"/>
    <mergeCell ref="C141:D141"/>
    <mergeCell ref="C142:D142"/>
    <mergeCell ref="C131:D131"/>
    <mergeCell ref="C132:D132"/>
    <mergeCell ref="C133:D133"/>
    <mergeCell ref="A135:B135"/>
    <mergeCell ref="C135:D135"/>
    <mergeCell ref="C136:D136"/>
    <mergeCell ref="C124:D124"/>
    <mergeCell ref="C125:D125"/>
    <mergeCell ref="C126:D126"/>
    <mergeCell ref="C127:D127"/>
    <mergeCell ref="C128:D128"/>
    <mergeCell ref="A130:B130"/>
    <mergeCell ref="C130:D130"/>
    <mergeCell ref="C117:D117"/>
    <mergeCell ref="C118:D118"/>
    <mergeCell ref="C119:D119"/>
    <mergeCell ref="C120:D120"/>
    <mergeCell ref="C121:D121"/>
    <mergeCell ref="A123:B123"/>
    <mergeCell ref="C123:D123"/>
    <mergeCell ref="C111:D111"/>
    <mergeCell ref="C112:D112"/>
    <mergeCell ref="C113:D113"/>
    <mergeCell ref="A115:B115"/>
    <mergeCell ref="C115:D115"/>
    <mergeCell ref="C116:D116"/>
    <mergeCell ref="C105:D105"/>
    <mergeCell ref="C106:D106"/>
    <mergeCell ref="C107:D107"/>
    <mergeCell ref="A109:B109"/>
    <mergeCell ref="C109:D109"/>
    <mergeCell ref="C110:D110"/>
    <mergeCell ref="C98:D98"/>
    <mergeCell ref="C99:D99"/>
    <mergeCell ref="C100:D100"/>
    <mergeCell ref="A102:D102"/>
    <mergeCell ref="A104:B104"/>
    <mergeCell ref="C104:D104"/>
    <mergeCell ref="A85:B85"/>
    <mergeCell ref="A95:B95"/>
    <mergeCell ref="C95:D95"/>
    <mergeCell ref="A96:D96"/>
    <mergeCell ref="A97:B97"/>
    <mergeCell ref="C97:D97"/>
    <mergeCell ref="A79:B79"/>
    <mergeCell ref="C79:D79"/>
    <mergeCell ref="C80:D80"/>
    <mergeCell ref="C81:D81"/>
    <mergeCell ref="C82:D82"/>
    <mergeCell ref="A84:B84"/>
    <mergeCell ref="C84:D84"/>
    <mergeCell ref="A68:B68"/>
    <mergeCell ref="C68:D68"/>
    <mergeCell ref="A69:B69"/>
    <mergeCell ref="A77:B77"/>
    <mergeCell ref="C77:D77"/>
    <mergeCell ref="A78:D78"/>
    <mergeCell ref="C61:D61"/>
    <mergeCell ref="C62:D62"/>
    <mergeCell ref="C63:D63"/>
    <mergeCell ref="C64:D64"/>
    <mergeCell ref="C65:D65"/>
    <mergeCell ref="C66:D66"/>
    <mergeCell ref="C55:D55"/>
    <mergeCell ref="C56:D56"/>
    <mergeCell ref="A58:B58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A43:B43"/>
    <mergeCell ref="C43:D43"/>
    <mergeCell ref="C44:D44"/>
    <mergeCell ref="C45:D45"/>
    <mergeCell ref="C46:D46"/>
    <mergeCell ref="A48:B48"/>
    <mergeCell ref="C48:D48"/>
    <mergeCell ref="C37:D37"/>
    <mergeCell ref="C38:D38"/>
    <mergeCell ref="C39:D39"/>
    <mergeCell ref="A41:B41"/>
    <mergeCell ref="C41:D41"/>
    <mergeCell ref="A42:D42"/>
    <mergeCell ref="C31:D31"/>
    <mergeCell ref="C32:D32"/>
    <mergeCell ref="A34:B34"/>
    <mergeCell ref="C34:D34"/>
    <mergeCell ref="C35:D35"/>
    <mergeCell ref="C36:D36"/>
    <mergeCell ref="C25:D25"/>
    <mergeCell ref="A27:B27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A1:D1"/>
    <mergeCell ref="A3:B3"/>
    <mergeCell ref="C3:D3"/>
    <mergeCell ref="C4:D4"/>
    <mergeCell ref="C5:D5"/>
    <mergeCell ref="C6:D6"/>
    <mergeCell ref="A17:B17"/>
    <mergeCell ref="C17:D17"/>
    <mergeCell ref="C18:D18"/>
    <mergeCell ref="C7:D7"/>
    <mergeCell ref="A9:B9"/>
    <mergeCell ref="C9:D9"/>
    <mergeCell ref="C10:D10"/>
    <mergeCell ref="C11:D11"/>
    <mergeCell ref="C12:D12"/>
  </mergeCells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B9C4DB"/>
    <pageSetUpPr autoPageBreaks="0"/>
  </sheetPr>
  <dimension ref="A1:BR63"/>
  <sheetViews>
    <sheetView showGridLines="0" showRowColHeaders="0" topLeftCell="A28" zoomScaleNormal="100" zoomScalePageLayoutView="200" workbookViewId="0">
      <selection activeCell="C59" activeCellId="2" sqref="C44:C45 C50:C53 C59:C60"/>
    </sheetView>
  </sheetViews>
  <sheetFormatPr defaultColWidth="8.85546875" defaultRowHeight="12.75" x14ac:dyDescent="0.2"/>
  <cols>
    <col min="1" max="1" width="3" style="1" customWidth="1"/>
    <col min="2" max="2" width="1.7109375" style="1" customWidth="1"/>
    <col min="3" max="3" width="3" style="1" customWidth="1"/>
    <col min="4" max="4" width="8.85546875" style="1"/>
    <col min="5" max="5" width="11.140625" style="1" customWidth="1"/>
    <col min="6" max="6" width="11.42578125" style="1" customWidth="1"/>
    <col min="7" max="7" width="12" style="1" customWidth="1"/>
    <col min="8" max="8" width="7.85546875" style="1" customWidth="1"/>
    <col min="9" max="9" width="9.140625" style="1" customWidth="1"/>
    <col min="10" max="10" width="16.42578125" style="1" customWidth="1"/>
    <col min="11" max="11" width="9.42578125" style="1" customWidth="1"/>
    <col min="12" max="12" width="12" style="1" customWidth="1"/>
    <col min="13" max="13" width="7.85546875" style="1" customWidth="1"/>
    <col min="14" max="16" width="8.85546875" style="1"/>
    <col min="17" max="17" width="10.28515625" style="1" customWidth="1"/>
    <col min="18" max="19" width="2.7109375" style="1" customWidth="1"/>
    <col min="20" max="37" width="2.7109375" style="3" customWidth="1"/>
    <col min="38" max="38" width="2.7109375" style="5" customWidth="1"/>
    <col min="39" max="39" width="2.7109375" style="4" customWidth="1"/>
    <col min="40" max="56" width="2.7109375" style="5" customWidth="1"/>
    <col min="57" max="62" width="2.7109375" style="45" customWidth="1"/>
    <col min="63" max="71" width="2.7109375" style="1" customWidth="1"/>
    <col min="72" max="16384" width="8.85546875" style="1"/>
  </cols>
  <sheetData>
    <row r="1" spans="2:53" ht="15.75" customHeight="1" thickBot="1" x14ac:dyDescent="0.25">
      <c r="S1" s="5"/>
      <c r="Z1" s="4"/>
      <c r="AA1" s="4"/>
      <c r="AB1" s="4"/>
      <c r="AC1" s="4"/>
      <c r="AH1" s="4"/>
      <c r="AI1" s="4"/>
      <c r="AJ1" s="4"/>
      <c r="AK1" s="4"/>
      <c r="AL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2:53" ht="15" customHeight="1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54"/>
      <c r="S2" s="5"/>
      <c r="T2" s="125" t="s">
        <v>0</v>
      </c>
      <c r="U2" s="125" t="s">
        <v>67</v>
      </c>
      <c r="V2" s="125" t="s">
        <v>68</v>
      </c>
      <c r="W2" s="126"/>
      <c r="X2" s="126"/>
      <c r="Y2" s="125" t="s">
        <v>69</v>
      </c>
      <c r="Z2" s="125" t="s">
        <v>70</v>
      </c>
      <c r="AA2" s="125" t="s">
        <v>71</v>
      </c>
      <c r="AB2" s="125" t="s">
        <v>72</v>
      </c>
      <c r="AC2" s="5"/>
      <c r="AD2" s="5"/>
      <c r="AE2" s="5"/>
      <c r="AF2" s="5"/>
      <c r="AG2" s="4"/>
      <c r="AH2" s="4"/>
      <c r="AI2" s="4"/>
      <c r="AJ2" s="4"/>
      <c r="AK2" s="4"/>
      <c r="AL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2:53" ht="25.5" customHeight="1" x14ac:dyDescent="0.4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55"/>
      <c r="T3" s="5" t="s">
        <v>110</v>
      </c>
      <c r="U3" s="56">
        <v>0.57999999999999996</v>
      </c>
      <c r="V3" s="56">
        <v>0.11</v>
      </c>
      <c r="W3" s="56"/>
      <c r="X3" s="56"/>
      <c r="Y3" s="56">
        <v>0.22</v>
      </c>
      <c r="Z3" s="56">
        <v>0.13</v>
      </c>
      <c r="AA3" s="56">
        <v>0.34</v>
      </c>
      <c r="AB3" s="56">
        <v>0.23</v>
      </c>
      <c r="AC3" s="56"/>
      <c r="AK3" s="5"/>
      <c r="AM3" s="5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3" ht="12.75" customHeight="1" x14ac:dyDescent="0.2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5"/>
      <c r="AK4" s="5"/>
      <c r="AM4" s="5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53" ht="12.75" customHeight="1" x14ac:dyDescent="0.2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55"/>
      <c r="T5" s="125" t="s">
        <v>74</v>
      </c>
      <c r="U5" s="125" t="s">
        <v>73</v>
      </c>
      <c r="V5" s="125" t="s">
        <v>74</v>
      </c>
      <c r="W5" s="125" t="s">
        <v>73</v>
      </c>
      <c r="X5" s="125" t="s">
        <v>74</v>
      </c>
      <c r="Y5" s="125" t="s">
        <v>73</v>
      </c>
      <c r="Z5" s="125" t="s">
        <v>74</v>
      </c>
      <c r="AA5" s="125" t="s">
        <v>73</v>
      </c>
      <c r="AB5" s="125" t="s">
        <v>74</v>
      </c>
      <c r="AC5" s="125" t="s">
        <v>73</v>
      </c>
      <c r="AD5" s="125" t="s">
        <v>74</v>
      </c>
      <c r="AE5" s="125" t="s">
        <v>73</v>
      </c>
      <c r="AF5" s="125" t="s">
        <v>74</v>
      </c>
      <c r="AG5" s="125" t="s">
        <v>73</v>
      </c>
      <c r="AK5" s="5"/>
      <c r="AM5" s="5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2:53" ht="12.75" customHeight="1" x14ac:dyDescent="0.2">
      <c r="B6" s="9"/>
      <c r="C6" s="11"/>
      <c r="D6" s="11"/>
      <c r="E6" s="11"/>
      <c r="F6" s="11"/>
      <c r="G6" s="11"/>
      <c r="H6" s="11"/>
      <c r="I6" s="11"/>
      <c r="J6" s="18"/>
      <c r="K6" s="11"/>
      <c r="L6" s="11"/>
      <c r="M6" s="11"/>
      <c r="N6" s="11"/>
      <c r="O6" s="11"/>
      <c r="P6" s="11"/>
      <c r="Q6" s="11"/>
      <c r="R6" s="55"/>
      <c r="T6" s="5" t="str">
        <f>"29 years"&amp;CHAR(10)&amp;"and under"</f>
        <v>29 years
and under</v>
      </c>
      <c r="U6" s="57">
        <v>0.02</v>
      </c>
      <c r="V6" s="5" t="s">
        <v>114</v>
      </c>
      <c r="W6" s="57">
        <v>0.68</v>
      </c>
      <c r="X6" s="5" t="str">
        <f>"Less than High School/"&amp;CHAR(10)&amp;"High School Diploma/"&amp;CHAR(10)&amp;"GED"</f>
        <v>Less than High School/
High School Diploma/
GED</v>
      </c>
      <c r="Y6" s="57">
        <v>7.0000000000000007E-2</v>
      </c>
      <c r="Z6" s="5" t="str">
        <f>"Less than 1"&amp;CHAR(10)&amp;"year"</f>
        <v>Less than 1
year</v>
      </c>
      <c r="AA6" s="57">
        <v>0.01</v>
      </c>
      <c r="AB6" s="5" t="str">
        <f>"Less than 1"&amp;CHAR(10)&amp;"year"</f>
        <v>Less than 1
year</v>
      </c>
      <c r="AC6" s="57">
        <v>0</v>
      </c>
      <c r="AD6" s="58" t="s">
        <v>115</v>
      </c>
      <c r="AE6" s="57">
        <v>0.02</v>
      </c>
      <c r="AF6" s="5" t="s">
        <v>116</v>
      </c>
      <c r="AG6" s="57">
        <v>0.01</v>
      </c>
      <c r="AK6" s="5"/>
      <c r="AM6" s="5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2:53" ht="18.75" customHeight="1" x14ac:dyDescent="0.2">
      <c r="B7" s="9"/>
      <c r="C7" s="11"/>
      <c r="D7" s="19"/>
      <c r="E7" s="19"/>
      <c r="F7" s="20"/>
      <c r="G7" s="20"/>
      <c r="H7" s="199"/>
      <c r="I7" s="199"/>
      <c r="J7" s="11"/>
      <c r="K7" s="11"/>
      <c r="L7" s="11"/>
      <c r="M7" s="11"/>
      <c r="N7" s="11"/>
      <c r="O7" s="11"/>
      <c r="P7" s="11"/>
      <c r="Q7" s="11"/>
      <c r="R7" s="55"/>
      <c r="T7" s="5" t="str">
        <f>"30-39"&amp;CHAR(10)&amp;"years old"</f>
        <v>30-39
years old</v>
      </c>
      <c r="U7" s="57">
        <v>0.15</v>
      </c>
      <c r="V7" s="5" t="s">
        <v>117</v>
      </c>
      <c r="W7" s="57">
        <v>0.2</v>
      </c>
      <c r="X7" s="5" t="str">
        <f>"Certification/"&amp;CHAR(10)&amp;"Some College/"&amp;CHAR(10)&amp;"Associate's Degree"</f>
        <v>Certification/
Some College/
Associate's Degree</v>
      </c>
      <c r="Y7" s="57">
        <v>0.26</v>
      </c>
      <c r="Z7" s="5" t="str">
        <f>"1 to 3"&amp;CHAR(10)&amp;"years"</f>
        <v>1 to 3
years</v>
      </c>
      <c r="AA7" s="57">
        <v>0.1</v>
      </c>
      <c r="AB7" s="5" t="str">
        <f>"1 to 3"&amp;CHAR(10)&amp;"years"</f>
        <v>1 to 3
years</v>
      </c>
      <c r="AC7" s="57">
        <v>0.06</v>
      </c>
      <c r="AD7" s="5" t="s">
        <v>118</v>
      </c>
      <c r="AE7" s="57">
        <v>0.06</v>
      </c>
      <c r="AF7" s="5" t="s">
        <v>119</v>
      </c>
      <c r="AG7" s="57">
        <v>0.06</v>
      </c>
      <c r="AK7" s="5"/>
      <c r="AM7" s="5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2:53" ht="16.5" customHeight="1" x14ac:dyDescent="0.25">
      <c r="B8" s="9"/>
      <c r="C8" s="11"/>
      <c r="D8" s="21"/>
      <c r="E8" s="22"/>
      <c r="F8" s="23"/>
      <c r="G8" s="24"/>
      <c r="H8" s="200"/>
      <c r="I8" s="200"/>
      <c r="J8" s="11"/>
      <c r="K8" s="11"/>
      <c r="L8" s="11"/>
      <c r="M8" s="11"/>
      <c r="N8" s="11"/>
      <c r="O8" s="11"/>
      <c r="P8" s="11"/>
      <c r="Q8" s="11"/>
      <c r="R8" s="55"/>
      <c r="T8" s="5" t="str">
        <f>"40-49"&amp;CHAR(10)&amp;"years old"</f>
        <v>40-49
years old</v>
      </c>
      <c r="U8" s="57">
        <v>0.23</v>
      </c>
      <c r="V8" s="5" t="s">
        <v>120</v>
      </c>
      <c r="W8" s="57">
        <v>0.12</v>
      </c>
      <c r="X8" s="5" t="s">
        <v>103</v>
      </c>
      <c r="Y8" s="57">
        <v>0.39</v>
      </c>
      <c r="Z8" s="5" t="str">
        <f>"4 to 5"&amp;CHAR(10)&amp;"years"</f>
        <v>4 to 5
years</v>
      </c>
      <c r="AA8" s="57">
        <v>7.0000000000000007E-2</v>
      </c>
      <c r="AB8" s="5" t="str">
        <f>"4 to 5"&amp;CHAR(10)&amp;"years"</f>
        <v>4 to 5
years</v>
      </c>
      <c r="AC8" s="57">
        <v>0.05</v>
      </c>
      <c r="AD8" s="5" t="s">
        <v>121</v>
      </c>
      <c r="AE8" s="57">
        <v>0.11</v>
      </c>
      <c r="AF8" s="5" t="s">
        <v>122</v>
      </c>
      <c r="AG8" s="57">
        <v>0.4</v>
      </c>
      <c r="AK8" s="5"/>
      <c r="AM8" s="5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2:53" ht="16.5" customHeight="1" x14ac:dyDescent="0.25">
      <c r="B9" s="9"/>
      <c r="C9" s="11"/>
      <c r="D9" s="21"/>
      <c r="E9" s="22"/>
      <c r="F9" s="25"/>
      <c r="G9" s="24"/>
      <c r="H9" s="200"/>
      <c r="I9" s="200"/>
      <c r="J9" s="11"/>
      <c r="K9" s="11"/>
      <c r="L9" s="11"/>
      <c r="M9" s="11"/>
      <c r="N9" s="11"/>
      <c r="O9" s="11"/>
      <c r="P9" s="11"/>
      <c r="Q9" s="11"/>
      <c r="R9" s="55"/>
      <c r="T9" s="5" t="str">
        <f>"50-59"&amp;CHAR(10)&amp;"years old"</f>
        <v>50-59
years old</v>
      </c>
      <c r="U9" s="57">
        <v>0.39</v>
      </c>
      <c r="V9" s="5"/>
      <c r="W9" s="57"/>
      <c r="X9" s="5" t="str">
        <f>"Advanced Degrees "&amp;CHAR(10)&amp;"(Post Bachelor's Degree)"</f>
        <v>Advanced Degrees 
(Post Bachelor's Degree)</v>
      </c>
      <c r="Y9" s="57">
        <v>0.27</v>
      </c>
      <c r="Z9" s="5" t="str">
        <f>"6 to 10"&amp;CHAR(10)&amp;"years"</f>
        <v>6 to 10
years</v>
      </c>
      <c r="AA9" s="57">
        <v>0.15</v>
      </c>
      <c r="AB9" s="5" t="str">
        <f>"6 to 10"&amp;CHAR(10)&amp;"years"</f>
        <v>6 to 10
years</v>
      </c>
      <c r="AC9" s="57">
        <v>0.14000000000000001</v>
      </c>
      <c r="AD9" s="5" t="s">
        <v>123</v>
      </c>
      <c r="AE9" s="57">
        <v>0.1</v>
      </c>
      <c r="AF9" s="5" t="s">
        <v>124</v>
      </c>
      <c r="AG9" s="57">
        <v>0.41</v>
      </c>
      <c r="AK9" s="27"/>
      <c r="AL9" s="27"/>
      <c r="AM9" s="27"/>
      <c r="AN9" s="27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2:53" ht="16.5" customHeight="1" x14ac:dyDescent="0.25">
      <c r="B10" s="9"/>
      <c r="C10" s="11"/>
      <c r="D10" s="22"/>
      <c r="E10" s="22"/>
      <c r="F10" s="25"/>
      <c r="G10" s="24"/>
      <c r="H10" s="200"/>
      <c r="I10" s="200"/>
      <c r="J10" s="11"/>
      <c r="K10" s="11"/>
      <c r="L10" s="11"/>
      <c r="M10" s="40"/>
      <c r="N10" s="11"/>
      <c r="O10" s="11"/>
      <c r="P10" s="11"/>
      <c r="Q10" s="11"/>
      <c r="R10" s="55"/>
      <c r="T10" s="5" t="str">
        <f>"60 years"&amp;CHAR(10)&amp;"or older"</f>
        <v>60 years
or older</v>
      </c>
      <c r="U10" s="57">
        <v>0.2</v>
      </c>
      <c r="V10" s="5"/>
      <c r="W10" s="57"/>
      <c r="X10" s="5"/>
      <c r="Y10" s="57"/>
      <c r="Z10" s="5" t="str">
        <f>"11 to 14"&amp;CHAR(10)&amp;"years"</f>
        <v>11 to 14
years</v>
      </c>
      <c r="AA10" s="57">
        <v>0.2</v>
      </c>
      <c r="AB10" s="5" t="str">
        <f>"11 to 14"&amp;CHAR(10)&amp;"years"</f>
        <v>11 to 14
years</v>
      </c>
      <c r="AC10" s="57">
        <v>0.2</v>
      </c>
      <c r="AD10" s="5" t="s">
        <v>125</v>
      </c>
      <c r="AE10" s="57">
        <v>0.72</v>
      </c>
      <c r="AF10" s="5" t="s">
        <v>126</v>
      </c>
      <c r="AG10" s="57">
        <v>0.01</v>
      </c>
      <c r="AK10" s="27"/>
      <c r="AL10" s="27"/>
      <c r="AM10" s="27"/>
      <c r="AN10" s="27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2:53" ht="16.5" customHeight="1" x14ac:dyDescent="0.25">
      <c r="B11" s="9"/>
      <c r="C11" s="11"/>
      <c r="D11" s="22"/>
      <c r="E11" s="22"/>
      <c r="F11" s="25"/>
      <c r="G11" s="24"/>
      <c r="H11" s="200"/>
      <c r="I11" s="200"/>
      <c r="J11" s="11"/>
      <c r="K11" s="11"/>
      <c r="L11" s="11"/>
      <c r="M11" s="11"/>
      <c r="N11" s="11"/>
      <c r="O11" s="11"/>
      <c r="P11" s="11"/>
      <c r="Q11" s="11"/>
      <c r="R11" s="55"/>
      <c r="T11" s="5"/>
      <c r="U11" s="5"/>
      <c r="V11" s="5"/>
      <c r="W11" s="57"/>
      <c r="X11" s="5"/>
      <c r="Y11" s="57"/>
      <c r="Z11" s="5" t="str">
        <f>"15 to 20"&amp;CHAR(10)&amp;"years"</f>
        <v>15 to 20
years</v>
      </c>
      <c r="AA11" s="57">
        <v>0.15</v>
      </c>
      <c r="AB11" s="5" t="str">
        <f>"15 to 20"&amp;CHAR(10)&amp;"years"</f>
        <v>15 to 20
years</v>
      </c>
      <c r="AC11" s="57">
        <v>0.16</v>
      </c>
      <c r="AD11" s="5"/>
      <c r="AE11" s="59"/>
      <c r="AF11" s="5" t="s">
        <v>127</v>
      </c>
      <c r="AG11" s="57">
        <v>0</v>
      </c>
      <c r="AK11" s="27"/>
      <c r="AL11" s="27"/>
      <c r="AM11" s="27"/>
      <c r="AN11" s="27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2:53" ht="16.5" customHeight="1" x14ac:dyDescent="0.25">
      <c r="B12" s="9"/>
      <c r="C12" s="11"/>
      <c r="D12" s="22"/>
      <c r="E12" s="22"/>
      <c r="F12" s="25"/>
      <c r="G12" s="24"/>
      <c r="H12" s="200"/>
      <c r="I12" s="200"/>
      <c r="J12" s="11"/>
      <c r="K12" s="11"/>
      <c r="L12" s="11"/>
      <c r="M12" s="11"/>
      <c r="N12" s="11"/>
      <c r="O12" s="11"/>
      <c r="P12" s="11"/>
      <c r="Q12" s="11"/>
      <c r="R12" s="55"/>
      <c r="T12" s="5"/>
      <c r="U12" s="5"/>
      <c r="V12" s="5"/>
      <c r="W12" s="5"/>
      <c r="X12" s="5"/>
      <c r="Y12" s="57"/>
      <c r="Z12" s="5" t="str">
        <f>"More than 20"&amp;CHAR(10)&amp;"years"</f>
        <v>More than 20
years</v>
      </c>
      <c r="AA12" s="57">
        <v>0.32</v>
      </c>
      <c r="AB12" s="5" t="str">
        <f>"More than 20"&amp;CHAR(10)&amp;"years"</f>
        <v>More than 20
years</v>
      </c>
      <c r="AC12" s="57">
        <v>0.38</v>
      </c>
      <c r="AD12" s="5"/>
      <c r="AE12" s="59"/>
      <c r="AF12" s="5" t="s">
        <v>128</v>
      </c>
      <c r="AG12" s="57">
        <v>0.11</v>
      </c>
      <c r="AH12" s="5"/>
      <c r="AJ12" s="27"/>
      <c r="AK12" s="27"/>
      <c r="AL12" s="27"/>
      <c r="AM12" s="27"/>
      <c r="AN12" s="27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2:53" ht="16.5" customHeight="1" x14ac:dyDescent="0.25">
      <c r="B13" s="9"/>
      <c r="C13" s="11"/>
      <c r="D13" s="196"/>
      <c r="E13" s="196"/>
      <c r="F13" s="28"/>
      <c r="G13" s="29"/>
      <c r="H13" s="197"/>
      <c r="I13" s="197"/>
      <c r="J13" s="11"/>
      <c r="K13" s="11"/>
      <c r="L13" s="11"/>
      <c r="M13" s="11"/>
      <c r="N13" s="11"/>
      <c r="O13" s="11"/>
      <c r="P13" s="11"/>
      <c r="Q13" s="11"/>
      <c r="R13" s="55"/>
      <c r="X13" s="5"/>
      <c r="Y13" s="57"/>
      <c r="AF13" s="5"/>
      <c r="AH13" s="5"/>
      <c r="AJ13" s="27"/>
      <c r="AK13" s="27"/>
      <c r="AL13" s="27"/>
      <c r="AM13" s="27"/>
      <c r="AN13" s="27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2:53" ht="13.5" customHeight="1" x14ac:dyDescent="0.2">
      <c r="B14" s="9"/>
      <c r="C14" s="11"/>
      <c r="D14" s="30"/>
      <c r="E14" s="30"/>
      <c r="F14" s="30"/>
      <c r="G14" s="30"/>
      <c r="H14" s="30"/>
      <c r="I14" s="30"/>
      <c r="J14" s="11"/>
      <c r="K14" s="11"/>
      <c r="L14" s="31"/>
      <c r="M14" s="11"/>
      <c r="N14" s="11"/>
      <c r="O14" s="11"/>
      <c r="P14" s="11"/>
      <c r="Q14" s="11"/>
      <c r="R14" s="55"/>
      <c r="AF14" s="5"/>
      <c r="AG14" s="5"/>
      <c r="AJ14" s="32"/>
      <c r="AK14" s="32"/>
      <c r="AL14" s="32"/>
      <c r="AM14" s="32"/>
      <c r="AN14" s="32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2:53" x14ac:dyDescent="0.2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55"/>
      <c r="AE15" s="56"/>
      <c r="AF15" s="5"/>
      <c r="AI15" s="5"/>
      <c r="AJ15" s="5"/>
      <c r="AK15" s="5"/>
      <c r="AM15" s="5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2:53" ht="13.5" customHeight="1" x14ac:dyDescent="0.2">
      <c r="B16" s="9"/>
      <c r="C16" s="11"/>
      <c r="D16" s="33"/>
      <c r="E16" s="34"/>
      <c r="F16" s="35"/>
      <c r="G16" s="35"/>
      <c r="H16" s="11"/>
      <c r="I16" s="34"/>
      <c r="J16" s="34"/>
      <c r="K16" s="35"/>
      <c r="L16" s="35"/>
      <c r="M16" s="11"/>
      <c r="N16" s="11"/>
      <c r="O16" s="11"/>
      <c r="P16" s="11"/>
      <c r="Q16" s="11"/>
      <c r="R16" s="55"/>
      <c r="AE16" s="56"/>
      <c r="AF16" s="5"/>
      <c r="AI16" s="5"/>
      <c r="AJ16" s="5"/>
      <c r="AK16" s="5"/>
      <c r="AM16" s="5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2:53" ht="12.75" customHeight="1" x14ac:dyDescent="0.2">
      <c r="B17" s="9"/>
      <c r="C17" s="11"/>
      <c r="D17" s="11"/>
      <c r="E17" s="11"/>
      <c r="F17" s="36"/>
      <c r="G17" s="37"/>
      <c r="H17" s="11"/>
      <c r="I17" s="11"/>
      <c r="J17" s="11"/>
      <c r="K17" s="36"/>
      <c r="L17" s="37"/>
      <c r="M17" s="11"/>
      <c r="N17" s="11"/>
      <c r="O17" s="11"/>
      <c r="P17" s="11"/>
      <c r="Q17" s="11"/>
      <c r="R17" s="55"/>
      <c r="AE17" s="56"/>
      <c r="AF17" s="5"/>
      <c r="AJ17" s="5"/>
      <c r="AK17" s="5"/>
      <c r="AM17" s="5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2:53" ht="12.75" customHeight="1" x14ac:dyDescent="0.2">
      <c r="B18" s="9"/>
      <c r="C18" s="11"/>
      <c r="D18" s="11"/>
      <c r="E18" s="11"/>
      <c r="F18" s="36"/>
      <c r="G18" s="37"/>
      <c r="H18" s="11"/>
      <c r="I18" s="11"/>
      <c r="J18" s="11"/>
      <c r="K18" s="36"/>
      <c r="L18" s="37"/>
      <c r="M18" s="11"/>
      <c r="N18" s="11"/>
      <c r="O18" s="11"/>
      <c r="P18" s="11"/>
      <c r="Q18" s="11"/>
      <c r="R18" s="55"/>
      <c r="W18" s="32"/>
      <c r="X18" s="32"/>
      <c r="Y18" s="32"/>
      <c r="Z18" s="32"/>
      <c r="AA18" s="5"/>
      <c r="AB18" s="59"/>
      <c r="AC18" s="26"/>
      <c r="AD18" s="27"/>
      <c r="AE18" s="56"/>
      <c r="AF18" s="5"/>
      <c r="AI18" s="5"/>
      <c r="AJ18" s="5"/>
      <c r="AK18" s="5"/>
      <c r="AM18" s="5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2:53" ht="12.75" customHeight="1" x14ac:dyDescent="0.2">
      <c r="B19" s="9"/>
      <c r="C19" s="11"/>
      <c r="D19" s="11"/>
      <c r="E19" s="11"/>
      <c r="F19" s="36"/>
      <c r="G19" s="37"/>
      <c r="H19" s="11"/>
      <c r="I19" s="11"/>
      <c r="J19" s="11"/>
      <c r="K19" s="36"/>
      <c r="L19" s="37"/>
      <c r="M19" s="11"/>
      <c r="N19" s="11"/>
      <c r="O19" s="11"/>
      <c r="P19" s="11"/>
      <c r="Q19" s="11"/>
      <c r="R19" s="55"/>
      <c r="W19" s="5"/>
      <c r="X19" s="5"/>
      <c r="Z19" s="5"/>
      <c r="AA19" s="5"/>
      <c r="AB19" s="59"/>
      <c r="AD19" s="27"/>
      <c r="AG19" s="5"/>
      <c r="AH19" s="5"/>
      <c r="AI19" s="5"/>
      <c r="AJ19" s="5"/>
      <c r="AK19" s="5"/>
      <c r="AM19" s="5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2:53" ht="12.75" customHeight="1" x14ac:dyDescent="0.2">
      <c r="B20" s="9"/>
      <c r="C20" s="11"/>
      <c r="D20" s="11"/>
      <c r="E20" s="11"/>
      <c r="F20" s="36"/>
      <c r="G20" s="37"/>
      <c r="H20" s="11"/>
      <c r="I20" s="11"/>
      <c r="J20" s="11"/>
      <c r="K20" s="36"/>
      <c r="L20" s="37"/>
      <c r="M20" s="11"/>
      <c r="N20" s="11"/>
      <c r="O20" s="11"/>
      <c r="P20" s="11"/>
      <c r="Q20" s="11"/>
      <c r="R20" s="55"/>
      <c r="X20" s="5"/>
      <c r="Y20" s="5"/>
      <c r="Z20" s="5"/>
      <c r="AA20" s="60"/>
      <c r="AB20" s="59"/>
      <c r="AC20" s="5"/>
      <c r="AD20" s="5"/>
      <c r="AG20" s="5"/>
      <c r="AH20" s="5"/>
      <c r="AI20" s="5"/>
      <c r="AJ20" s="5"/>
      <c r="AK20" s="5"/>
      <c r="AM20" s="5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2:53" ht="12.75" customHeight="1" x14ac:dyDescent="0.2">
      <c r="B21" s="9"/>
      <c r="C21" s="11"/>
      <c r="D21" s="11"/>
      <c r="E21" s="11"/>
      <c r="F21" s="36"/>
      <c r="G21" s="37"/>
      <c r="H21" s="11"/>
      <c r="I21" s="11"/>
      <c r="J21" s="11"/>
      <c r="K21" s="36"/>
      <c r="L21" s="37"/>
      <c r="M21" s="11"/>
      <c r="N21" s="11"/>
      <c r="O21" s="11"/>
      <c r="P21" s="11"/>
      <c r="Q21" s="11"/>
      <c r="R21" s="55"/>
      <c r="X21" s="5"/>
      <c r="Y21" s="5"/>
      <c r="Z21" s="5"/>
      <c r="AC21" s="5"/>
      <c r="AD21" s="5"/>
      <c r="AG21" s="5"/>
      <c r="AH21" s="5"/>
      <c r="AI21" s="5"/>
      <c r="AJ21" s="5"/>
      <c r="AK21" s="5"/>
      <c r="AM21" s="5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2:53" ht="12.75" customHeight="1" x14ac:dyDescent="0.2">
      <c r="B22" s="9"/>
      <c r="C22" s="11"/>
      <c r="D22" s="11"/>
      <c r="E22" s="11"/>
      <c r="F22" s="36"/>
      <c r="G22" s="37"/>
      <c r="H22" s="11"/>
      <c r="I22" s="11"/>
      <c r="J22" s="11"/>
      <c r="K22" s="36"/>
      <c r="L22" s="37"/>
      <c r="M22" s="11"/>
      <c r="N22" s="11"/>
      <c r="O22" s="11"/>
      <c r="P22" s="11"/>
      <c r="Q22" s="11"/>
      <c r="R22" s="55"/>
      <c r="W22" s="5"/>
      <c r="X22" s="5"/>
      <c r="Y22" s="5"/>
      <c r="Z22" s="5"/>
      <c r="AC22" s="5"/>
      <c r="AD22" s="5"/>
      <c r="AE22" s="5"/>
      <c r="AF22" s="5"/>
      <c r="AG22" s="5"/>
      <c r="AH22" s="5"/>
      <c r="AI22" s="5"/>
      <c r="AJ22" s="5"/>
      <c r="AK22" s="5"/>
      <c r="AM22" s="5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2:53" ht="12.75" customHeight="1" x14ac:dyDescent="0.2">
      <c r="B23" s="9"/>
      <c r="C23" s="11"/>
      <c r="D23" s="11"/>
      <c r="E23" s="11"/>
      <c r="F23" s="36"/>
      <c r="G23" s="37"/>
      <c r="H23" s="11"/>
      <c r="I23" s="11"/>
      <c r="J23" s="11"/>
      <c r="K23" s="36"/>
      <c r="L23" s="37"/>
      <c r="M23" s="11"/>
      <c r="N23" s="11"/>
      <c r="O23" s="11"/>
      <c r="P23" s="11"/>
      <c r="Q23" s="11"/>
      <c r="R23" s="55"/>
      <c r="W23" s="5"/>
      <c r="X23" s="41"/>
      <c r="Y23" s="41"/>
      <c r="AD23" s="5"/>
      <c r="AE23" s="5"/>
      <c r="AF23" s="5"/>
      <c r="AG23" s="5"/>
      <c r="AH23" s="5"/>
      <c r="AI23" s="5"/>
      <c r="AJ23" s="5"/>
      <c r="AK23" s="5"/>
      <c r="AM23" s="5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2:53" ht="12.75" customHeight="1" x14ac:dyDescent="0.2">
      <c r="B24" s="9"/>
      <c r="C24" s="11"/>
      <c r="D24" s="11"/>
      <c r="E24" s="11"/>
      <c r="F24" s="36"/>
      <c r="G24" s="37"/>
      <c r="H24" s="11"/>
      <c r="I24" s="11"/>
      <c r="J24" s="11"/>
      <c r="K24" s="36"/>
      <c r="L24" s="37"/>
      <c r="M24" s="11"/>
      <c r="N24" s="11"/>
      <c r="O24" s="11"/>
      <c r="P24" s="11"/>
      <c r="Q24" s="11"/>
      <c r="R24" s="55"/>
      <c r="W24" s="2"/>
      <c r="X24" s="2"/>
      <c r="Y24" s="2"/>
      <c r="Z24" s="2"/>
      <c r="AA24" s="2"/>
      <c r="AB24" s="2"/>
      <c r="AC24" s="2"/>
      <c r="AD24" s="2"/>
      <c r="AE24" s="5"/>
      <c r="AF24" s="5"/>
      <c r="AG24" s="5"/>
      <c r="AH24" s="5"/>
      <c r="AI24" s="5"/>
      <c r="AJ24" s="5"/>
      <c r="AK24" s="5"/>
      <c r="AM24" s="5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2:53" ht="12.75" customHeight="1" x14ac:dyDescent="0.2">
      <c r="B25" s="9"/>
      <c r="C25" s="11"/>
      <c r="D25" s="11"/>
      <c r="E25" s="11"/>
      <c r="F25" s="36"/>
      <c r="G25" s="37"/>
      <c r="H25" s="11"/>
      <c r="I25" s="11"/>
      <c r="J25" s="11"/>
      <c r="K25" s="36"/>
      <c r="L25" s="37"/>
      <c r="M25" s="11"/>
      <c r="N25" s="11"/>
      <c r="O25" s="11"/>
      <c r="P25" s="11"/>
      <c r="Q25" s="11"/>
      <c r="R25" s="55"/>
      <c r="S25" s="5"/>
      <c r="T25" s="5"/>
      <c r="U25" s="2"/>
      <c r="V25" s="2"/>
      <c r="W25" s="2"/>
      <c r="X25" s="2"/>
      <c r="Y25" s="2"/>
      <c r="Z25" s="2"/>
      <c r="AA25" s="2"/>
      <c r="AB25" s="2"/>
      <c r="AC25" s="2"/>
      <c r="AD25" s="2"/>
      <c r="AE25" s="5"/>
      <c r="AF25" s="5"/>
      <c r="AG25" s="5"/>
      <c r="AH25" s="5"/>
      <c r="AI25" s="5"/>
      <c r="AJ25" s="5"/>
      <c r="AK25" s="5"/>
      <c r="AM25" s="5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2:53" ht="12.75" customHeight="1" x14ac:dyDescent="0.2">
      <c r="B26" s="9"/>
      <c r="C26" s="11"/>
      <c r="D26" s="11"/>
      <c r="E26" s="11"/>
      <c r="F26" s="36"/>
      <c r="G26" s="37"/>
      <c r="H26" s="11"/>
      <c r="I26" s="11"/>
      <c r="J26" s="11"/>
      <c r="K26" s="36"/>
      <c r="L26" s="37"/>
      <c r="M26" s="11"/>
      <c r="N26" s="11"/>
      <c r="O26" s="11"/>
      <c r="P26" s="11"/>
      <c r="Q26" s="11"/>
      <c r="R26" s="55"/>
      <c r="S26" s="5"/>
      <c r="T26" s="61" t="str">
        <f t="shared" ref="T26:AG32" si="0">IF(ISBLANK(T6),"--",T6)</f>
        <v>29 years
and under</v>
      </c>
      <c r="U26" s="62">
        <f>IF(ISBLANK(U6),"--",U6)</f>
        <v>0.02</v>
      </c>
      <c r="V26" s="61" t="str">
        <f t="shared" si="0"/>
        <v>White</v>
      </c>
      <c r="W26" s="62">
        <f t="shared" si="0"/>
        <v>0.68</v>
      </c>
      <c r="X26" s="61" t="str">
        <f t="shared" si="0"/>
        <v>Less than High School/
High School Diploma/
GED</v>
      </c>
      <c r="Y26" s="62">
        <f t="shared" si="0"/>
        <v>7.0000000000000007E-2</v>
      </c>
      <c r="Z26" s="61" t="str">
        <f t="shared" si="0"/>
        <v>Less than 1
year</v>
      </c>
      <c r="AA26" s="62">
        <f t="shared" si="0"/>
        <v>0.01</v>
      </c>
      <c r="AB26" s="61" t="str">
        <f t="shared" si="0"/>
        <v>Less than 1
year</v>
      </c>
      <c r="AC26" s="62">
        <f t="shared" si="0"/>
        <v>0</v>
      </c>
      <c r="AD26" s="61" t="str">
        <f t="shared" si="0"/>
        <v>Senior Leader</v>
      </c>
      <c r="AE26" s="62">
        <f t="shared" si="0"/>
        <v>0.02</v>
      </c>
      <c r="AF26" s="61" t="str">
        <f t="shared" si="0"/>
        <v>Federal Wage System</v>
      </c>
      <c r="AG26" s="62">
        <f t="shared" si="0"/>
        <v>0.01</v>
      </c>
      <c r="AH26" s="5"/>
      <c r="AI26" s="5"/>
      <c r="AJ26" s="5"/>
      <c r="AK26" s="5"/>
      <c r="AM26" s="5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2:53" x14ac:dyDescent="0.2"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55"/>
      <c r="S27" s="5"/>
      <c r="T27" s="61" t="str">
        <f t="shared" si="0"/>
        <v>30-39
years old</v>
      </c>
      <c r="U27" s="62">
        <f t="shared" si="0"/>
        <v>0.15</v>
      </c>
      <c r="V27" s="61" t="str">
        <f t="shared" si="0"/>
        <v>Black or African American</v>
      </c>
      <c r="W27" s="62">
        <f t="shared" si="0"/>
        <v>0.2</v>
      </c>
      <c r="X27" s="61" t="str">
        <f t="shared" si="0"/>
        <v>Certification/
Some College/
Associate's Degree</v>
      </c>
      <c r="Y27" s="62">
        <f t="shared" si="0"/>
        <v>0.26</v>
      </c>
      <c r="Z27" s="61" t="str">
        <f t="shared" si="0"/>
        <v>1 to 3
years</v>
      </c>
      <c r="AA27" s="62">
        <f t="shared" si="0"/>
        <v>0.1</v>
      </c>
      <c r="AB27" s="61" t="str">
        <f t="shared" si="0"/>
        <v>1 to 3
years</v>
      </c>
      <c r="AC27" s="62">
        <f t="shared" si="0"/>
        <v>0.06</v>
      </c>
      <c r="AD27" s="61" t="str">
        <f t="shared" si="0"/>
        <v>Manager</v>
      </c>
      <c r="AE27" s="62">
        <f t="shared" si="0"/>
        <v>0.06</v>
      </c>
      <c r="AF27" s="61" t="str">
        <f t="shared" si="0"/>
        <v>GS 1-6</v>
      </c>
      <c r="AG27" s="62">
        <f t="shared" si="0"/>
        <v>0.06</v>
      </c>
      <c r="AH27" s="5"/>
      <c r="AI27" s="5"/>
      <c r="AJ27" s="5"/>
      <c r="AK27" s="5"/>
      <c r="AM27" s="5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2:53" x14ac:dyDescent="0.2">
      <c r="B28" s="9"/>
      <c r="C28" s="11"/>
      <c r="D28" s="43"/>
      <c r="E28" s="43"/>
      <c r="F28" s="43"/>
      <c r="G28" s="4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55"/>
      <c r="S28" s="5"/>
      <c r="T28" s="61" t="str">
        <f t="shared" si="0"/>
        <v>40-49
years old</v>
      </c>
      <c r="U28" s="62">
        <f t="shared" si="0"/>
        <v>0.23</v>
      </c>
      <c r="V28" s="61" t="str">
        <f t="shared" si="0"/>
        <v>All other races</v>
      </c>
      <c r="W28" s="62">
        <f t="shared" si="0"/>
        <v>0.12</v>
      </c>
      <c r="X28" s="61" t="str">
        <f t="shared" si="0"/>
        <v>Bachelor's Degree</v>
      </c>
      <c r="Y28" s="62">
        <f t="shared" si="0"/>
        <v>0.39</v>
      </c>
      <c r="Z28" s="61" t="str">
        <f t="shared" si="0"/>
        <v>4 to 5
years</v>
      </c>
      <c r="AA28" s="62">
        <f t="shared" si="0"/>
        <v>7.0000000000000007E-2</v>
      </c>
      <c r="AB28" s="61" t="str">
        <f t="shared" si="0"/>
        <v>4 to 5
years</v>
      </c>
      <c r="AC28" s="62">
        <f t="shared" si="0"/>
        <v>0.05</v>
      </c>
      <c r="AD28" s="61" t="str">
        <f t="shared" si="0"/>
        <v>Supervisor</v>
      </c>
      <c r="AE28" s="62">
        <f t="shared" si="0"/>
        <v>0.11</v>
      </c>
      <c r="AF28" s="61" t="str">
        <f t="shared" si="0"/>
        <v>GS 7-12</v>
      </c>
      <c r="AG28" s="62">
        <f t="shared" si="0"/>
        <v>0.4</v>
      </c>
      <c r="AK28" s="5"/>
      <c r="AM28" s="5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2:53" ht="13.5" customHeight="1" x14ac:dyDescent="0.2">
      <c r="B29" s="9"/>
      <c r="C29" s="11"/>
      <c r="D29" s="34"/>
      <c r="E29" s="34"/>
      <c r="F29" s="35"/>
      <c r="G29" s="35"/>
      <c r="H29" s="11"/>
      <c r="I29" s="34"/>
      <c r="J29" s="34"/>
      <c r="K29" s="35"/>
      <c r="L29" s="35"/>
      <c r="M29" s="11"/>
      <c r="N29" s="11"/>
      <c r="O29" s="11"/>
      <c r="P29" s="11"/>
      <c r="Q29" s="11"/>
      <c r="R29" s="55"/>
      <c r="S29" s="5"/>
      <c r="T29" s="61" t="str">
        <f t="shared" si="0"/>
        <v>50-59
years old</v>
      </c>
      <c r="U29" s="62">
        <f t="shared" si="0"/>
        <v>0.39</v>
      </c>
      <c r="V29" s="61"/>
      <c r="W29" s="62"/>
      <c r="X29" s="61" t="str">
        <f t="shared" si="0"/>
        <v>Advanced Degrees 
(Post Bachelor's Degree)</v>
      </c>
      <c r="Y29" s="62">
        <f t="shared" si="0"/>
        <v>0.27</v>
      </c>
      <c r="Z29" s="61" t="str">
        <f t="shared" si="0"/>
        <v>6 to 10
years</v>
      </c>
      <c r="AA29" s="62">
        <f t="shared" si="0"/>
        <v>0.15</v>
      </c>
      <c r="AB29" s="61" t="str">
        <f t="shared" si="0"/>
        <v>6 to 10
years</v>
      </c>
      <c r="AC29" s="62">
        <f t="shared" si="0"/>
        <v>0.14000000000000001</v>
      </c>
      <c r="AD29" s="61" t="str">
        <f t="shared" si="0"/>
        <v>Team Leader</v>
      </c>
      <c r="AE29" s="62">
        <f t="shared" si="0"/>
        <v>0.1</v>
      </c>
      <c r="AF29" s="61" t="str">
        <f t="shared" si="0"/>
        <v>GS 13-15</v>
      </c>
      <c r="AG29" s="62">
        <f t="shared" si="0"/>
        <v>0.41</v>
      </c>
      <c r="AK29" s="5"/>
      <c r="AM29" s="5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53" ht="12.75" customHeight="1" x14ac:dyDescent="0.2">
      <c r="B30" s="9"/>
      <c r="C30" s="11"/>
      <c r="D30" s="11"/>
      <c r="E30" s="11"/>
      <c r="F30" s="36"/>
      <c r="G30" s="37"/>
      <c r="H30" s="11"/>
      <c r="I30" s="11"/>
      <c r="J30" s="11"/>
      <c r="K30" s="36"/>
      <c r="L30" s="37"/>
      <c r="M30" s="11"/>
      <c r="N30" s="11"/>
      <c r="O30" s="11"/>
      <c r="P30" s="11"/>
      <c r="Q30" s="11"/>
      <c r="R30" s="55"/>
      <c r="S30" s="5"/>
      <c r="T30" s="61" t="str">
        <f t="shared" si="0"/>
        <v>60 years
or older</v>
      </c>
      <c r="U30" s="62">
        <f t="shared" si="0"/>
        <v>0.2</v>
      </c>
      <c r="V30" s="61"/>
      <c r="W30" s="62"/>
      <c r="X30" s="61"/>
      <c r="Y30" s="62"/>
      <c r="Z30" s="61" t="str">
        <f t="shared" si="0"/>
        <v>11 to 14
years</v>
      </c>
      <c r="AA30" s="62">
        <f t="shared" si="0"/>
        <v>0.2</v>
      </c>
      <c r="AB30" s="61" t="str">
        <f t="shared" si="0"/>
        <v>11 to 14
years</v>
      </c>
      <c r="AC30" s="62">
        <f t="shared" si="0"/>
        <v>0.2</v>
      </c>
      <c r="AD30" s="61" t="str">
        <f t="shared" si="0"/>
        <v>Non-Supervisor</v>
      </c>
      <c r="AE30" s="62">
        <f t="shared" si="0"/>
        <v>0.72</v>
      </c>
      <c r="AF30" s="61" t="str">
        <f t="shared" si="0"/>
        <v>Senior Executive Service</v>
      </c>
      <c r="AG30" s="62">
        <f t="shared" si="0"/>
        <v>0.01</v>
      </c>
      <c r="AK30" s="5"/>
      <c r="AM30" s="5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2:53" ht="12.75" customHeight="1" x14ac:dyDescent="0.2">
      <c r="B31" s="9"/>
      <c r="C31" s="11"/>
      <c r="D31" s="11"/>
      <c r="E31" s="11"/>
      <c r="F31" s="36"/>
      <c r="G31" s="37"/>
      <c r="H31" s="11"/>
      <c r="I31" s="11"/>
      <c r="J31" s="11"/>
      <c r="K31" s="36"/>
      <c r="L31" s="37"/>
      <c r="M31" s="11"/>
      <c r="N31" s="11"/>
      <c r="O31" s="11"/>
      <c r="P31" s="11"/>
      <c r="Q31" s="11"/>
      <c r="R31" s="55"/>
      <c r="S31" s="5"/>
      <c r="T31" s="61"/>
      <c r="U31" s="62"/>
      <c r="V31" s="61"/>
      <c r="W31" s="62"/>
      <c r="X31" s="61"/>
      <c r="Y31" s="62"/>
      <c r="Z31" s="61" t="str">
        <f t="shared" si="0"/>
        <v>15 to 20
years</v>
      </c>
      <c r="AA31" s="62">
        <f t="shared" si="0"/>
        <v>0.15</v>
      </c>
      <c r="AB31" s="61" t="str">
        <f t="shared" si="0"/>
        <v>15 to 20
years</v>
      </c>
      <c r="AC31" s="62">
        <f t="shared" si="0"/>
        <v>0.16</v>
      </c>
      <c r="AD31" s="44"/>
      <c r="AF31" s="61" t="str">
        <f t="shared" si="0"/>
        <v>Senior Level (SL) or Scientific or Professional (ST)</v>
      </c>
      <c r="AG31" s="62">
        <f t="shared" si="0"/>
        <v>0</v>
      </c>
      <c r="AK31" s="5"/>
      <c r="AM31" s="5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2:53" ht="12.75" customHeight="1" x14ac:dyDescent="0.2">
      <c r="B32" s="9"/>
      <c r="C32" s="11"/>
      <c r="D32" s="11"/>
      <c r="E32" s="11"/>
      <c r="F32" s="36"/>
      <c r="G32" s="37"/>
      <c r="H32" s="11"/>
      <c r="I32" s="11"/>
      <c r="J32" s="11"/>
      <c r="K32" s="36"/>
      <c r="L32" s="37"/>
      <c r="M32" s="11"/>
      <c r="N32" s="11"/>
      <c r="O32" s="11"/>
      <c r="P32" s="11"/>
      <c r="Q32" s="11"/>
      <c r="R32" s="55"/>
      <c r="S32" s="5"/>
      <c r="T32" s="5"/>
      <c r="U32" s="41"/>
      <c r="V32" s="44"/>
      <c r="W32" s="41"/>
      <c r="X32" s="61"/>
      <c r="Y32" s="62"/>
      <c r="Z32" s="61" t="str">
        <f t="shared" si="0"/>
        <v>More than 20
years</v>
      </c>
      <c r="AA32" s="62">
        <f t="shared" si="0"/>
        <v>0.32</v>
      </c>
      <c r="AB32" s="61" t="str">
        <f t="shared" si="0"/>
        <v>More than 20
years</v>
      </c>
      <c r="AC32" s="62">
        <f t="shared" si="0"/>
        <v>0.38</v>
      </c>
      <c r="AD32" s="44"/>
      <c r="AF32" s="61" t="str">
        <f t="shared" si="0"/>
        <v>Other</v>
      </c>
      <c r="AG32" s="62">
        <f t="shared" si="0"/>
        <v>0.11</v>
      </c>
      <c r="AK32" s="5"/>
      <c r="AM32" s="5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70" ht="12.75" customHeight="1" x14ac:dyDescent="0.2">
      <c r="B33" s="9"/>
      <c r="C33" s="11"/>
      <c r="D33" s="11"/>
      <c r="E33" s="11"/>
      <c r="F33" s="36"/>
      <c r="G33" s="37"/>
      <c r="H33" s="11"/>
      <c r="I33" s="11"/>
      <c r="J33" s="11"/>
      <c r="K33" s="36"/>
      <c r="L33" s="37"/>
      <c r="M33" s="11"/>
      <c r="N33" s="11"/>
      <c r="O33" s="11"/>
      <c r="P33" s="11"/>
      <c r="Q33" s="11"/>
      <c r="R33" s="55"/>
      <c r="S33" s="5"/>
      <c r="T33" s="5"/>
      <c r="U33" s="41"/>
      <c r="V33" s="44"/>
      <c r="W33" s="41"/>
      <c r="X33" s="61"/>
      <c r="Y33" s="62"/>
      <c r="Z33" s="44"/>
      <c r="AA33" s="41"/>
      <c r="AB33" s="44"/>
      <c r="AC33" s="41"/>
      <c r="AD33" s="44"/>
      <c r="AE33" s="5"/>
      <c r="AF33" s="5"/>
      <c r="AG33" s="5"/>
      <c r="AH33" s="5"/>
      <c r="AI33" s="5"/>
      <c r="AJ33" s="5"/>
      <c r="AK33" s="5"/>
      <c r="AM33" s="5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70" ht="12.75" customHeight="1" x14ac:dyDescent="0.2">
      <c r="B34" s="9"/>
      <c r="C34" s="11"/>
      <c r="D34" s="11"/>
      <c r="E34" s="11"/>
      <c r="F34" s="36"/>
      <c r="G34" s="37"/>
      <c r="H34" s="11"/>
      <c r="I34" s="11"/>
      <c r="J34" s="11"/>
      <c r="K34" s="36"/>
      <c r="L34" s="37"/>
      <c r="M34" s="11"/>
      <c r="N34" s="11"/>
      <c r="O34" s="11"/>
      <c r="P34" s="11"/>
      <c r="Q34" s="11"/>
      <c r="R34" s="55"/>
      <c r="S34" s="5"/>
      <c r="T34" s="5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5"/>
      <c r="AF34" s="5"/>
      <c r="AG34" s="5"/>
      <c r="AH34" s="5"/>
      <c r="AI34" s="5"/>
      <c r="AJ34" s="5"/>
      <c r="AK34" s="5"/>
      <c r="AM34" s="5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70" ht="12.75" customHeight="1" x14ac:dyDescent="0.2">
      <c r="B35" s="9"/>
      <c r="C35" s="11"/>
      <c r="D35" s="11"/>
      <c r="E35" s="11"/>
      <c r="F35" s="36"/>
      <c r="G35" s="37"/>
      <c r="H35" s="11"/>
      <c r="I35" s="11"/>
      <c r="J35" s="11"/>
      <c r="K35" s="36"/>
      <c r="L35" s="37"/>
      <c r="M35" s="11"/>
      <c r="N35" s="11"/>
      <c r="O35" s="11"/>
      <c r="P35" s="11"/>
      <c r="Q35" s="11"/>
      <c r="R35" s="55"/>
      <c r="S35" s="5"/>
      <c r="T35" s="5"/>
      <c r="U35" s="46"/>
      <c r="V35" s="17"/>
      <c r="W35" s="46"/>
      <c r="X35" s="17"/>
      <c r="Y35" s="46"/>
      <c r="Z35" s="17"/>
      <c r="AA35" s="46"/>
      <c r="AB35" s="17"/>
      <c r="AC35" s="46"/>
      <c r="AD35" s="17"/>
      <c r="AE35" s="5"/>
      <c r="AF35" s="5"/>
      <c r="AG35" s="5"/>
      <c r="AH35" s="5"/>
      <c r="AI35" s="5"/>
      <c r="AJ35" s="5"/>
      <c r="AK35" s="5"/>
      <c r="AM35" s="5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70" ht="12.75" customHeight="1" x14ac:dyDescent="0.2">
      <c r="B36" s="9"/>
      <c r="C36" s="11"/>
      <c r="D36" s="11"/>
      <c r="E36" s="11"/>
      <c r="F36" s="36"/>
      <c r="G36" s="37"/>
      <c r="H36" s="11"/>
      <c r="I36" s="11"/>
      <c r="J36" s="11"/>
      <c r="K36" s="36"/>
      <c r="L36" s="37"/>
      <c r="M36" s="11"/>
      <c r="N36" s="11"/>
      <c r="O36" s="11"/>
      <c r="P36" s="11"/>
      <c r="Q36" s="11"/>
      <c r="R36" s="55"/>
      <c r="S36" s="5"/>
      <c r="T36" s="5"/>
      <c r="U36" s="46"/>
      <c r="V36" s="17"/>
      <c r="W36" s="46"/>
      <c r="X36" s="17"/>
      <c r="Y36" s="46"/>
      <c r="Z36" s="17"/>
      <c r="AA36" s="46"/>
      <c r="AB36" s="17"/>
      <c r="AC36" s="46"/>
      <c r="AD36" s="17"/>
      <c r="AE36" s="5"/>
      <c r="AF36" s="5"/>
      <c r="AG36" s="5"/>
      <c r="AH36" s="5"/>
      <c r="AI36" s="5"/>
      <c r="AJ36" s="5"/>
      <c r="AK36" s="5"/>
      <c r="AM36" s="5"/>
      <c r="AR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5"/>
      <c r="BK36" s="5"/>
      <c r="BL36" s="5"/>
      <c r="BM36" s="45"/>
      <c r="BN36" s="45"/>
      <c r="BO36" s="45"/>
      <c r="BP36" s="45"/>
      <c r="BQ36" s="45"/>
      <c r="BR36" s="45"/>
    </row>
    <row r="37" spans="1:70" ht="12.75" customHeight="1" x14ac:dyDescent="0.2">
      <c r="B37" s="9"/>
      <c r="C37" s="11"/>
      <c r="D37" s="11"/>
      <c r="E37" s="11"/>
      <c r="F37" s="36"/>
      <c r="G37" s="37"/>
      <c r="H37" s="11"/>
      <c r="I37" s="11"/>
      <c r="J37" s="11"/>
      <c r="K37" s="36"/>
      <c r="L37" s="37"/>
      <c r="M37" s="11"/>
      <c r="N37" s="11"/>
      <c r="O37" s="11"/>
      <c r="P37" s="11"/>
      <c r="Q37" s="11"/>
      <c r="R37" s="55"/>
      <c r="S37" s="5"/>
      <c r="T37" s="5"/>
      <c r="V37" s="5"/>
      <c r="W37" s="5"/>
      <c r="X37" s="5"/>
      <c r="Y37" s="5"/>
      <c r="Z37" s="5"/>
      <c r="AC37" s="5"/>
      <c r="AD37" s="5"/>
      <c r="AE37" s="5"/>
      <c r="AF37" s="5"/>
      <c r="AG37" s="5"/>
      <c r="AH37" s="5"/>
      <c r="AI37" s="5"/>
      <c r="AJ37" s="5"/>
      <c r="AK37" s="5"/>
      <c r="AM37" s="5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5"/>
      <c r="BK37" s="5"/>
      <c r="BL37" s="5"/>
      <c r="BM37" s="45"/>
      <c r="BN37" s="45"/>
      <c r="BO37" s="45"/>
      <c r="BP37" s="45"/>
      <c r="BQ37" s="45"/>
      <c r="BR37" s="45"/>
    </row>
    <row r="38" spans="1:70" ht="12.75" customHeight="1" x14ac:dyDescent="0.2">
      <c r="B38" s="9"/>
      <c r="C38" s="11"/>
      <c r="D38" s="11"/>
      <c r="E38" s="11"/>
      <c r="F38" s="36"/>
      <c r="G38" s="37"/>
      <c r="H38" s="11"/>
      <c r="I38" s="11"/>
      <c r="J38" s="11"/>
      <c r="K38" s="36"/>
      <c r="L38" s="37"/>
      <c r="M38" s="11"/>
      <c r="N38" s="11"/>
      <c r="O38" s="11"/>
      <c r="P38" s="11"/>
      <c r="Q38" s="11"/>
      <c r="R38" s="55"/>
      <c r="S38" s="5"/>
      <c r="T38" s="5"/>
      <c r="V38" s="5"/>
      <c r="W38" s="5"/>
      <c r="X38" s="5"/>
      <c r="Y38" s="5"/>
      <c r="Z38" s="5"/>
      <c r="AC38" s="5"/>
      <c r="AD38" s="5"/>
      <c r="AE38" s="5"/>
      <c r="AF38" s="5"/>
      <c r="AG38" s="5"/>
      <c r="AH38" s="5"/>
      <c r="AI38" s="5"/>
      <c r="AJ38" s="5"/>
      <c r="AK38" s="5"/>
      <c r="AM38" s="5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5"/>
      <c r="BK38" s="5"/>
      <c r="BL38" s="5"/>
      <c r="BM38" s="45"/>
      <c r="BN38" s="45"/>
      <c r="BO38" s="45"/>
      <c r="BP38" s="45"/>
      <c r="BQ38" s="45"/>
      <c r="BR38" s="45"/>
    </row>
    <row r="39" spans="1:70" ht="12.75" customHeight="1" x14ac:dyDescent="0.2">
      <c r="A39" s="50"/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55"/>
      <c r="S39" s="2"/>
      <c r="T39" s="5"/>
      <c r="V39" s="5"/>
      <c r="W39" s="5"/>
      <c r="X39" s="5"/>
      <c r="Y39" s="5"/>
      <c r="Z39" s="5"/>
      <c r="AC39" s="5"/>
      <c r="AD39" s="5"/>
      <c r="AE39" s="5"/>
      <c r="AF39" s="5"/>
      <c r="AG39" s="5"/>
      <c r="AH39" s="5"/>
      <c r="AI39" s="5"/>
      <c r="AJ39" s="5"/>
      <c r="AK39" s="5"/>
      <c r="AM39" s="5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5"/>
      <c r="BK39" s="5"/>
      <c r="BL39" s="5"/>
      <c r="BM39" s="45"/>
      <c r="BN39" s="45"/>
      <c r="BO39" s="45"/>
      <c r="BP39" s="45"/>
      <c r="BQ39" s="45"/>
      <c r="BR39" s="45"/>
    </row>
    <row r="40" spans="1:70" ht="14.25" customHeight="1" x14ac:dyDescent="0.2">
      <c r="A40" s="50"/>
      <c r="B40" s="63"/>
      <c r="C40" s="64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64"/>
      <c r="O40" s="64"/>
      <c r="P40" s="64"/>
      <c r="Q40" s="64"/>
      <c r="R40" s="65"/>
      <c r="S40" s="2"/>
      <c r="T40" s="5"/>
      <c r="V40" s="5"/>
      <c r="W40" s="5"/>
      <c r="X40" s="5"/>
      <c r="Y40" s="5"/>
      <c r="Z40" s="5"/>
      <c r="AC40" s="5"/>
      <c r="AD40" s="5"/>
      <c r="AE40" s="5"/>
      <c r="AF40" s="5"/>
      <c r="AG40" s="5"/>
      <c r="AH40" s="5"/>
      <c r="AI40" s="5"/>
      <c r="AJ40" s="5"/>
      <c r="AK40" s="5"/>
      <c r="AM40" s="5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5"/>
      <c r="BK40" s="5"/>
      <c r="BL40" s="5"/>
      <c r="BM40" s="45"/>
      <c r="BN40" s="45"/>
      <c r="BO40" s="45"/>
      <c r="BP40" s="45"/>
      <c r="BQ40" s="45"/>
      <c r="BR40" s="45"/>
    </row>
    <row r="41" spans="1:70" ht="12.75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2"/>
      <c r="T41" s="5"/>
      <c r="V41" s="5"/>
      <c r="W41" s="5"/>
      <c r="X41" s="5"/>
      <c r="Y41" s="5"/>
      <c r="Z41" s="5"/>
      <c r="AC41" s="5"/>
      <c r="AD41" s="5"/>
      <c r="AE41" s="5"/>
      <c r="AF41" s="5"/>
      <c r="AG41" s="5"/>
      <c r="AH41" s="5"/>
      <c r="AI41" s="5"/>
      <c r="AJ41" s="5"/>
      <c r="AK41" s="5"/>
      <c r="AM41" s="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5"/>
      <c r="BK41" s="5"/>
      <c r="BL41" s="5"/>
      <c r="BM41" s="45"/>
      <c r="BN41" s="45"/>
      <c r="BO41" s="45"/>
      <c r="BP41" s="45"/>
      <c r="BQ41" s="45"/>
      <c r="BR41" s="45"/>
    </row>
    <row r="42" spans="1:70" ht="12.75" customHeight="1" x14ac:dyDescent="0.2">
      <c r="B42" s="5">
        <v>5</v>
      </c>
      <c r="C42" s="66" t="s">
        <v>75</v>
      </c>
      <c r="D42" s="66" t="str">
        <f>CHOOSE(C50,T26,V26,X26)</f>
        <v>29 years
and under</v>
      </c>
      <c r="E42" s="59">
        <f>CHOOSE(C50,U26,W26,Y26)</f>
        <v>0.02</v>
      </c>
      <c r="S42" s="5"/>
      <c r="T42" s="5"/>
      <c r="V42" s="5"/>
      <c r="W42" s="5"/>
      <c r="X42" s="5"/>
      <c r="Y42" s="5"/>
      <c r="Z42" s="5"/>
      <c r="AC42" s="5"/>
      <c r="AD42" s="5"/>
      <c r="AE42" s="5"/>
      <c r="AF42" s="5"/>
      <c r="AG42" s="5"/>
      <c r="AH42" s="5"/>
      <c r="AI42" s="5"/>
      <c r="AJ42" s="5"/>
      <c r="AK42" s="5"/>
      <c r="AM42" s="5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5"/>
      <c r="BK42" s="5"/>
      <c r="BL42" s="5"/>
      <c r="BM42" s="45"/>
      <c r="BN42" s="45"/>
      <c r="BO42" s="45"/>
      <c r="BP42" s="45"/>
      <c r="BQ42" s="45"/>
      <c r="BR42" s="45"/>
    </row>
    <row r="43" spans="1:70" ht="12.75" customHeight="1" x14ac:dyDescent="0.2">
      <c r="B43" s="5">
        <v>3</v>
      </c>
      <c r="C43" s="66" t="s">
        <v>76</v>
      </c>
      <c r="D43" s="66" t="str">
        <f>CHOOSE(C50,T27,V27,X27)</f>
        <v>30-39
years old</v>
      </c>
      <c r="E43" s="59">
        <f>CHOOSE(C50,U27,W27,Y27)</f>
        <v>0.15</v>
      </c>
      <c r="S43" s="5"/>
      <c r="T43" s="5"/>
      <c r="V43" s="5"/>
      <c r="W43" s="5"/>
      <c r="X43" s="5"/>
      <c r="Y43" s="5"/>
      <c r="Z43" s="5"/>
      <c r="AC43" s="5"/>
      <c r="AD43" s="5"/>
      <c r="AE43" s="5"/>
      <c r="AF43" s="5"/>
      <c r="AG43" s="5"/>
      <c r="AH43" s="5"/>
      <c r="AI43" s="5"/>
      <c r="AJ43" s="5"/>
      <c r="AK43" s="5"/>
      <c r="AM43" s="5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5"/>
      <c r="BK43" s="5"/>
      <c r="BL43" s="5"/>
      <c r="BM43" s="45"/>
      <c r="BN43" s="45"/>
      <c r="BO43" s="45"/>
      <c r="BP43" s="45"/>
      <c r="BQ43" s="45"/>
      <c r="BR43" s="45"/>
    </row>
    <row r="44" spans="1:70" x14ac:dyDescent="0.2">
      <c r="B44" s="5">
        <v>4</v>
      </c>
      <c r="C44" s="67" t="s">
        <v>77</v>
      </c>
      <c r="D44" s="66" t="str">
        <f>CHOOSE(C50,T28,V28,X28)</f>
        <v>40-49
years old</v>
      </c>
      <c r="E44" s="59">
        <f>CHOOSE(C50,U28,W28,Y28)</f>
        <v>0.23</v>
      </c>
      <c r="S44" s="5"/>
      <c r="T44" s="5"/>
      <c r="V44" s="5"/>
      <c r="W44" s="5"/>
      <c r="X44" s="5"/>
      <c r="Y44" s="5"/>
      <c r="Z44" s="5"/>
      <c r="AC44" s="5"/>
      <c r="AD44" s="5"/>
      <c r="AE44" s="5"/>
      <c r="AF44" s="5"/>
      <c r="AG44" s="5"/>
      <c r="AH44" s="5"/>
      <c r="AI44" s="5"/>
      <c r="AJ44" s="5"/>
      <c r="AK44" s="5"/>
      <c r="AM44" s="5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5"/>
      <c r="BK44" s="5"/>
      <c r="BL44" s="5"/>
      <c r="BM44" s="45"/>
      <c r="BN44" s="45"/>
      <c r="BO44" s="45"/>
      <c r="BP44" s="45"/>
      <c r="BQ44" s="45"/>
      <c r="BR44" s="45"/>
    </row>
    <row r="45" spans="1:70" x14ac:dyDescent="0.2">
      <c r="B45" s="5">
        <v>7</v>
      </c>
      <c r="C45" s="67" t="s">
        <v>78</v>
      </c>
      <c r="D45" s="66" t="str">
        <f>CHOOSE(C50,T29,V29,X29)</f>
        <v>50-59
years old</v>
      </c>
      <c r="E45" s="59">
        <f>CHOOSE(C50,U29,W29,Y29)</f>
        <v>0.39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M45" s="5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70" x14ac:dyDescent="0.2">
      <c r="B46" s="5">
        <v>7</v>
      </c>
      <c r="C46" s="66" t="s">
        <v>79</v>
      </c>
      <c r="D46" s="66" t="str">
        <f>CHOOSE(C50,T30,V30,X30)</f>
        <v>60 years
or older</v>
      </c>
      <c r="E46" s="59">
        <f>CHOOSE(C50,U30,W30,Y30)</f>
        <v>0.2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M46" s="5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70" x14ac:dyDescent="0.2">
      <c r="B47" s="5">
        <v>5</v>
      </c>
      <c r="C47" s="66" t="s">
        <v>80</v>
      </c>
      <c r="D47" s="66">
        <f>CHOOSE(C50,T31,V31,X31)</f>
        <v>0</v>
      </c>
      <c r="E47" s="59">
        <f>CHOOSE(C50,U31,W31,Y31)</f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M47" s="5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70" x14ac:dyDescent="0.2">
      <c r="B48" s="5">
        <v>7</v>
      </c>
      <c r="C48" s="66" t="s">
        <v>81</v>
      </c>
      <c r="D48" s="66">
        <f>CHOOSE(C50,T32,V32,X32)</f>
        <v>0</v>
      </c>
      <c r="E48" s="59">
        <f>CHOOSE(C50,U32,W32,Y32)</f>
        <v>0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M48" s="5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2:53" x14ac:dyDescent="0.2">
      <c r="B49" s="5"/>
      <c r="C49" s="66"/>
      <c r="D49" s="66">
        <f>CHOOSE(C50,T33,V33,X33)</f>
        <v>0</v>
      </c>
      <c r="E49" s="59">
        <f>CHOOSE(C50,U33,W33,Y33)</f>
        <v>0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M49" s="5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2:53" x14ac:dyDescent="0.2">
      <c r="B50" s="5">
        <f>CHOOSE(C50,B42,B43,B44)</f>
        <v>5</v>
      </c>
      <c r="C50" s="67">
        <v>1</v>
      </c>
      <c r="D50" s="66" t="str">
        <f>CHOOSE(C51,Z26,AB26,AD26,AF26)</f>
        <v>Less than 1
year</v>
      </c>
      <c r="E50" s="59">
        <f>CHOOSE(C51,AA26,AC26,AE26,AG26)</f>
        <v>0.01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M50" s="5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2:53" x14ac:dyDescent="0.2">
      <c r="B51" s="5">
        <f>CHOOSE(C51,B45,B46,B47,B48)</f>
        <v>7</v>
      </c>
      <c r="C51" s="67">
        <v>1</v>
      </c>
      <c r="D51" s="66" t="str">
        <f>CHOOSE(C51,Z27,AB27,AD27,AF27)</f>
        <v>1 to 3
years</v>
      </c>
      <c r="E51" s="59">
        <f>CHOOSE(C51,AA27,AC27,AE27,AG27)</f>
        <v>0.1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M51" s="5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2:53" x14ac:dyDescent="0.2">
      <c r="B52" s="5"/>
      <c r="C52" s="67" t="str">
        <f>CHOOSE(C50,C42,C43,C44)</f>
        <v>Age Group</v>
      </c>
      <c r="D52" s="66" t="str">
        <f>CHOOSE(C51,Z28,AB28,AD28,AF28)</f>
        <v>4 to 5
years</v>
      </c>
      <c r="E52" s="59">
        <f>CHOOSE(C51,AA28,AC28,AE28,AG28)</f>
        <v>7.0000000000000007E-2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M52" s="5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2:53" x14ac:dyDescent="0.2">
      <c r="B53" s="5"/>
      <c r="C53" s="67" t="str">
        <f>CHOOSE(C51,C45,C46,C47,C48)</f>
        <v>Agency Tenure</v>
      </c>
      <c r="D53" s="66" t="str">
        <f>CHOOSE(C51,Z29,AB29,AD29,AF29)</f>
        <v>6 to 10
years</v>
      </c>
      <c r="E53" s="59">
        <f>CHOOSE(C51,AA29,AC29,AE29,AG29)</f>
        <v>0.15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M53" s="5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2:53" x14ac:dyDescent="0.2">
      <c r="B54" s="5"/>
      <c r="C54" s="67"/>
      <c r="D54" s="66" t="str">
        <f>CHOOSE(C51,Z30,AB30,AD30,AF30)</f>
        <v>11 to 14
years</v>
      </c>
      <c r="E54" s="59">
        <f>CHOOSE(C51,AA30,AC30,AE30,AG30)</f>
        <v>0.2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M54" s="5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2:53" x14ac:dyDescent="0.2">
      <c r="B55" s="5"/>
      <c r="C55" s="67"/>
      <c r="D55" s="66" t="str">
        <f>CHOOSE(C51,Z31,AB31,AD31,AF31)</f>
        <v>15 to 20
years</v>
      </c>
      <c r="E55" s="59">
        <f>CHOOSE(C51,AA31,AC31,AE31,AG31)</f>
        <v>0.15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M55" s="5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2:53" x14ac:dyDescent="0.2">
      <c r="B56" s="5"/>
      <c r="C56" s="66"/>
      <c r="D56" s="66" t="str">
        <f>CHOOSE(C51,Z32,AB32,AD32,AF32)</f>
        <v>More than 20
years</v>
      </c>
      <c r="E56" s="59">
        <f>CHOOSE(C51,AA32,AC32,AE32,AG32)</f>
        <v>0.32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M56" s="5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2:53" ht="15" x14ac:dyDescent="0.25">
      <c r="B57" s="5"/>
      <c r="C57" s="66" t="s">
        <v>75</v>
      </c>
      <c r="D57" s="66"/>
      <c r="E57" s="68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M57" s="5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2:53" x14ac:dyDescent="0.2">
      <c r="B58" s="5"/>
      <c r="C58" s="66" t="s">
        <v>76</v>
      </c>
      <c r="D58" s="66"/>
      <c r="E58" s="66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2:53" x14ac:dyDescent="0.2">
      <c r="B59" s="5"/>
      <c r="C59" s="67" t="s">
        <v>77</v>
      </c>
      <c r="D59" s="66"/>
      <c r="E59" s="66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2:53" x14ac:dyDescent="0.2">
      <c r="B60" s="5"/>
      <c r="C60" s="67" t="s">
        <v>78</v>
      </c>
      <c r="D60" s="66"/>
      <c r="E60" s="66"/>
    </row>
    <row r="61" spans="2:53" x14ac:dyDescent="0.2">
      <c r="B61" s="5"/>
      <c r="C61" s="66" t="s">
        <v>82</v>
      </c>
      <c r="D61" s="66"/>
      <c r="E61" s="66"/>
    </row>
    <row r="62" spans="2:53" x14ac:dyDescent="0.2">
      <c r="B62" s="5"/>
      <c r="C62" s="66" t="s">
        <v>80</v>
      </c>
      <c r="D62" s="66"/>
      <c r="E62" s="66"/>
    </row>
    <row r="63" spans="2:53" x14ac:dyDescent="0.2">
      <c r="B63" s="5"/>
      <c r="C63" s="66" t="s">
        <v>81</v>
      </c>
      <c r="D63" s="69"/>
      <c r="E63" s="69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ist Box 1">
              <controlPr defaultSize="0" autoLine="0" autoPict="0" altText="This is the drop down for Agency Tenure">
                <anchor>
                  <from>
                    <xdr:col>9</xdr:col>
                    <xdr:colOff>857250</xdr:colOff>
                    <xdr:row>19</xdr:row>
                    <xdr:rowOff>95250</xdr:rowOff>
                  </from>
                  <to>
                    <xdr:col>11</xdr:col>
                    <xdr:colOff>361950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List Box 2">
              <controlPr defaultSize="0" autoLine="0" autoPict="0" altText="This is the Drop Down for Age Group">
                <anchor>
                  <from>
                    <xdr:col>2</xdr:col>
                    <xdr:colOff>95250</xdr:colOff>
                    <xdr:row>19</xdr:row>
                    <xdr:rowOff>95250</xdr:rowOff>
                  </from>
                  <to>
                    <xdr:col>4</xdr:col>
                    <xdr:colOff>495300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C90"/>
  <sheetViews>
    <sheetView tabSelected="1"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85" t="s">
        <v>448</v>
      </c>
    </row>
    <row r="2" spans="1:3" ht="13.9" customHeight="1" x14ac:dyDescent="0.2">
      <c r="A2" s="145" t="s">
        <v>176</v>
      </c>
    </row>
    <row r="3" spans="1:3" ht="48" customHeight="1" x14ac:dyDescent="0.25">
      <c r="A3" s="235" t="s">
        <v>449</v>
      </c>
      <c r="B3" s="235"/>
      <c r="C3" s="235"/>
    </row>
    <row r="4" spans="1:3" ht="16.899999999999999" customHeight="1" x14ac:dyDescent="0.25">
      <c r="A4" s="165"/>
      <c r="B4" s="234">
        <v>2020</v>
      </c>
      <c r="C4" s="234"/>
    </row>
    <row r="5" spans="1:3" ht="16.899999999999999" customHeight="1" x14ac:dyDescent="0.25">
      <c r="A5" s="165"/>
      <c r="B5" s="186" t="s">
        <v>174</v>
      </c>
      <c r="C5" s="186" t="s">
        <v>175</v>
      </c>
    </row>
    <row r="6" spans="1:3" ht="16.899999999999999" customHeight="1" x14ac:dyDescent="0.25">
      <c r="A6" s="148" t="s">
        <v>258</v>
      </c>
      <c r="B6" s="155">
        <v>14617</v>
      </c>
      <c r="C6" s="150">
        <v>0.37723638999999998</v>
      </c>
    </row>
    <row r="7" spans="1:3" ht="16.899999999999999" customHeight="1" x14ac:dyDescent="0.25">
      <c r="A7" s="148" t="s">
        <v>259</v>
      </c>
      <c r="B7" s="155">
        <v>17045</v>
      </c>
      <c r="C7" s="150">
        <v>0.44280488000000001</v>
      </c>
    </row>
    <row r="8" spans="1:3" ht="16.899999999999999" customHeight="1" x14ac:dyDescent="0.25">
      <c r="A8" s="148" t="s">
        <v>260</v>
      </c>
      <c r="B8" s="155">
        <v>4543</v>
      </c>
      <c r="C8" s="150">
        <v>0.12257107</v>
      </c>
    </row>
    <row r="9" spans="1:3" ht="16.899999999999999" customHeight="1" x14ac:dyDescent="0.25">
      <c r="A9" s="148" t="s">
        <v>261</v>
      </c>
      <c r="B9" s="155">
        <v>1494</v>
      </c>
      <c r="C9" s="150">
        <v>3.9808940000000001E-2</v>
      </c>
    </row>
    <row r="10" spans="1:3" ht="16.899999999999999" customHeight="1" x14ac:dyDescent="0.25">
      <c r="A10" s="187" t="s">
        <v>262</v>
      </c>
      <c r="B10" s="188">
        <v>650</v>
      </c>
      <c r="C10" s="194">
        <v>1.7578719999999999E-2</v>
      </c>
    </row>
    <row r="11" spans="1:3" ht="16.899999999999999" customHeight="1" x14ac:dyDescent="0.25">
      <c r="A11" s="189" t="s">
        <v>185</v>
      </c>
      <c r="B11" s="190">
        <v>38349</v>
      </c>
      <c r="C11" s="195">
        <v>1</v>
      </c>
    </row>
    <row r="13" spans="1:3" ht="13.9" customHeight="1" x14ac:dyDescent="0.2">
      <c r="A13" s="145" t="s">
        <v>176</v>
      </c>
    </row>
    <row r="14" spans="1:3" ht="48" customHeight="1" x14ac:dyDescent="0.25">
      <c r="A14" s="235" t="s">
        <v>450</v>
      </c>
      <c r="B14" s="235"/>
      <c r="C14" s="235"/>
    </row>
    <row r="15" spans="1:3" ht="16.899999999999999" customHeight="1" x14ac:dyDescent="0.25">
      <c r="A15" s="165"/>
      <c r="B15" s="234">
        <v>2020</v>
      </c>
      <c r="C15" s="234"/>
    </row>
    <row r="16" spans="1:3" ht="16.899999999999999" customHeight="1" x14ac:dyDescent="0.25">
      <c r="A16" s="165"/>
      <c r="B16" s="186" t="s">
        <v>174</v>
      </c>
      <c r="C16" s="186" t="s">
        <v>175</v>
      </c>
    </row>
    <row r="17" spans="1:3" ht="16.899999999999999" customHeight="1" x14ac:dyDescent="0.25">
      <c r="A17" s="148" t="s">
        <v>451</v>
      </c>
      <c r="B17" s="155">
        <v>7524</v>
      </c>
      <c r="C17" s="150">
        <v>0.19917573999999999</v>
      </c>
    </row>
    <row r="18" spans="1:3" ht="16.899999999999999" customHeight="1" x14ac:dyDescent="0.25">
      <c r="A18" s="148" t="s">
        <v>452</v>
      </c>
      <c r="B18" s="155">
        <v>9701</v>
      </c>
      <c r="C18" s="150">
        <v>0.26577530999999999</v>
      </c>
    </row>
    <row r="19" spans="1:3" ht="16.899999999999999" customHeight="1" x14ac:dyDescent="0.25">
      <c r="A19" s="148" t="s">
        <v>453</v>
      </c>
      <c r="B19" s="155">
        <v>7380</v>
      </c>
      <c r="C19" s="150">
        <v>0.19612824000000001</v>
      </c>
    </row>
    <row r="20" spans="1:3" ht="16.899999999999999" customHeight="1" x14ac:dyDescent="0.25">
      <c r="A20" s="148" t="s">
        <v>454</v>
      </c>
      <c r="B20" s="155">
        <v>12889</v>
      </c>
      <c r="C20" s="150">
        <v>0.35001707999999998</v>
      </c>
    </row>
    <row r="21" spans="1:3" ht="16.899999999999999" customHeight="1" x14ac:dyDescent="0.25">
      <c r="A21" s="148" t="s">
        <v>455</v>
      </c>
      <c r="B21" s="155">
        <v>9745</v>
      </c>
      <c r="C21" s="150">
        <v>0.26151592000000001</v>
      </c>
    </row>
    <row r="22" spans="1:3" ht="16.899999999999999" customHeight="1" x14ac:dyDescent="0.25">
      <c r="A22" s="187" t="s">
        <v>456</v>
      </c>
      <c r="B22" s="188">
        <v>15081</v>
      </c>
      <c r="C22" s="194">
        <v>0.38572037999999997</v>
      </c>
    </row>
    <row r="23" spans="1:3" ht="16.899999999999999" customHeight="1" x14ac:dyDescent="0.25">
      <c r="A23" s="189" t="s">
        <v>185</v>
      </c>
      <c r="B23" s="190">
        <v>38071</v>
      </c>
      <c r="C23" s="191" t="s">
        <v>184</v>
      </c>
    </row>
    <row r="25" spans="1:3" ht="13.9" customHeight="1" x14ac:dyDescent="0.2">
      <c r="A25" s="145" t="s">
        <v>176</v>
      </c>
    </row>
    <row r="26" spans="1:3" ht="48" customHeight="1" x14ac:dyDescent="0.25">
      <c r="A26" s="235" t="s">
        <v>457</v>
      </c>
      <c r="B26" s="235"/>
      <c r="C26" s="235"/>
    </row>
    <row r="27" spans="1:3" ht="16.899999999999999" customHeight="1" x14ac:dyDescent="0.25">
      <c r="A27" s="165"/>
      <c r="B27" s="234">
        <v>2020</v>
      </c>
      <c r="C27" s="234"/>
    </row>
    <row r="28" spans="1:3" ht="16.899999999999999" customHeight="1" x14ac:dyDescent="0.25">
      <c r="A28" s="165"/>
      <c r="B28" s="186" t="s">
        <v>174</v>
      </c>
      <c r="C28" s="186" t="s">
        <v>175</v>
      </c>
    </row>
    <row r="29" spans="1:3" ht="16.899999999999999" customHeight="1" x14ac:dyDescent="0.25">
      <c r="A29" s="148" t="s">
        <v>258</v>
      </c>
      <c r="B29" s="155">
        <v>6804</v>
      </c>
      <c r="C29" s="150">
        <v>0.17324914999999999</v>
      </c>
    </row>
    <row r="30" spans="1:3" ht="16.899999999999999" customHeight="1" x14ac:dyDescent="0.25">
      <c r="A30" s="148" t="s">
        <v>259</v>
      </c>
      <c r="B30" s="155">
        <v>14033</v>
      </c>
      <c r="C30" s="150">
        <v>0.35886477</v>
      </c>
    </row>
    <row r="31" spans="1:3" ht="16.899999999999999" customHeight="1" x14ac:dyDescent="0.25">
      <c r="A31" s="148" t="s">
        <v>260</v>
      </c>
      <c r="B31" s="155">
        <v>8736</v>
      </c>
      <c r="C31" s="150">
        <v>0.23515217999999999</v>
      </c>
    </row>
    <row r="32" spans="1:3" ht="16.899999999999999" customHeight="1" x14ac:dyDescent="0.25">
      <c r="A32" s="148" t="s">
        <v>261</v>
      </c>
      <c r="B32" s="155">
        <v>5945</v>
      </c>
      <c r="C32" s="150">
        <v>0.15866204</v>
      </c>
    </row>
    <row r="33" spans="1:3" ht="16.899999999999999" customHeight="1" x14ac:dyDescent="0.25">
      <c r="A33" s="187" t="s">
        <v>262</v>
      </c>
      <c r="B33" s="188">
        <v>2681</v>
      </c>
      <c r="C33" s="194">
        <v>7.4071869999999998E-2</v>
      </c>
    </row>
    <row r="34" spans="1:3" ht="16.899999999999999" customHeight="1" x14ac:dyDescent="0.25">
      <c r="A34" s="189" t="s">
        <v>185</v>
      </c>
      <c r="B34" s="190">
        <v>38199</v>
      </c>
      <c r="C34" s="195">
        <v>1</v>
      </c>
    </row>
    <row r="36" spans="1:3" ht="13.9" customHeight="1" x14ac:dyDescent="0.2">
      <c r="A36" s="145" t="s">
        <v>176</v>
      </c>
    </row>
    <row r="37" spans="1:3" ht="48" customHeight="1" x14ac:dyDescent="0.25">
      <c r="A37" s="235" t="s">
        <v>458</v>
      </c>
      <c r="B37" s="235"/>
      <c r="C37" s="235"/>
    </row>
    <row r="38" spans="1:3" ht="16.899999999999999" customHeight="1" x14ac:dyDescent="0.25">
      <c r="A38" s="165"/>
      <c r="B38" s="234">
        <v>2020</v>
      </c>
      <c r="C38" s="234"/>
    </row>
    <row r="39" spans="1:3" ht="16.899999999999999" customHeight="1" x14ac:dyDescent="0.25">
      <c r="A39" s="165"/>
      <c r="B39" s="186" t="s">
        <v>174</v>
      </c>
      <c r="C39" s="186" t="s">
        <v>175</v>
      </c>
    </row>
    <row r="40" spans="1:3" ht="16.899999999999999" customHeight="1" x14ac:dyDescent="0.25">
      <c r="A40" s="148" t="s">
        <v>258</v>
      </c>
      <c r="B40" s="155">
        <v>6461</v>
      </c>
      <c r="C40" s="150">
        <v>0.16596222999999999</v>
      </c>
    </row>
    <row r="41" spans="1:3" ht="16.899999999999999" customHeight="1" x14ac:dyDescent="0.25">
      <c r="A41" s="148" t="s">
        <v>259</v>
      </c>
      <c r="B41" s="155">
        <v>13024</v>
      </c>
      <c r="C41" s="150">
        <v>0.33769991999999999</v>
      </c>
    </row>
    <row r="42" spans="1:3" ht="16.899999999999999" customHeight="1" x14ac:dyDescent="0.25">
      <c r="A42" s="148" t="s">
        <v>260</v>
      </c>
      <c r="B42" s="155">
        <v>10637</v>
      </c>
      <c r="C42" s="150">
        <v>0.28396577000000001</v>
      </c>
    </row>
    <row r="43" spans="1:3" ht="16.899999999999999" customHeight="1" x14ac:dyDescent="0.25">
      <c r="A43" s="148" t="s">
        <v>261</v>
      </c>
      <c r="B43" s="155">
        <v>5424</v>
      </c>
      <c r="C43" s="150">
        <v>0.1446017</v>
      </c>
    </row>
    <row r="44" spans="1:3" ht="16.899999999999999" customHeight="1" x14ac:dyDescent="0.25">
      <c r="A44" s="187" t="s">
        <v>262</v>
      </c>
      <c r="B44" s="188">
        <v>2469</v>
      </c>
      <c r="C44" s="194">
        <v>6.7770380000000005E-2</v>
      </c>
    </row>
    <row r="45" spans="1:3" ht="16.899999999999999" customHeight="1" x14ac:dyDescent="0.25">
      <c r="A45" s="189" t="s">
        <v>185</v>
      </c>
      <c r="B45" s="190">
        <v>38015</v>
      </c>
      <c r="C45" s="195">
        <v>1</v>
      </c>
    </row>
    <row r="47" spans="1:3" ht="13.9" customHeight="1" x14ac:dyDescent="0.2">
      <c r="A47" s="145" t="s">
        <v>176</v>
      </c>
    </row>
    <row r="48" spans="1:3" ht="48" customHeight="1" x14ac:dyDescent="0.25">
      <c r="A48" s="235" t="s">
        <v>459</v>
      </c>
      <c r="B48" s="235"/>
      <c r="C48" s="235"/>
    </row>
    <row r="49" spans="1:3" ht="16.899999999999999" customHeight="1" x14ac:dyDescent="0.25">
      <c r="A49" s="165"/>
      <c r="B49" s="234">
        <v>2020</v>
      </c>
      <c r="C49" s="234"/>
    </row>
    <row r="50" spans="1:3" ht="16.899999999999999" customHeight="1" x14ac:dyDescent="0.25">
      <c r="A50" s="165"/>
      <c r="B50" s="186" t="s">
        <v>174</v>
      </c>
      <c r="C50" s="186" t="s">
        <v>175</v>
      </c>
    </row>
    <row r="51" spans="1:3" ht="16.899999999999999" customHeight="1" x14ac:dyDescent="0.25">
      <c r="A51" s="148" t="s">
        <v>258</v>
      </c>
      <c r="B51" s="155">
        <v>7748</v>
      </c>
      <c r="C51" s="150">
        <v>0.19628235999999999</v>
      </c>
    </row>
    <row r="52" spans="1:3" ht="16.899999999999999" customHeight="1" x14ac:dyDescent="0.25">
      <c r="A52" s="148" t="s">
        <v>259</v>
      </c>
      <c r="B52" s="155">
        <v>13532</v>
      </c>
      <c r="C52" s="150">
        <v>0.35201015000000002</v>
      </c>
    </row>
    <row r="53" spans="1:3" ht="16.899999999999999" customHeight="1" x14ac:dyDescent="0.25">
      <c r="A53" s="148" t="s">
        <v>260</v>
      </c>
      <c r="B53" s="155">
        <v>9941</v>
      </c>
      <c r="C53" s="150">
        <v>0.27313947</v>
      </c>
    </row>
    <row r="54" spans="1:3" ht="16.899999999999999" customHeight="1" x14ac:dyDescent="0.25">
      <c r="A54" s="148" t="s">
        <v>261</v>
      </c>
      <c r="B54" s="155">
        <v>4176</v>
      </c>
      <c r="C54" s="150">
        <v>0.11376383</v>
      </c>
    </row>
    <row r="55" spans="1:3" ht="16.899999999999999" customHeight="1" x14ac:dyDescent="0.25">
      <c r="A55" s="187" t="s">
        <v>262</v>
      </c>
      <c r="B55" s="188">
        <v>2334</v>
      </c>
      <c r="C55" s="194">
        <v>6.4804189999999998E-2</v>
      </c>
    </row>
    <row r="56" spans="1:3" ht="16.899999999999999" customHeight="1" x14ac:dyDescent="0.25">
      <c r="A56" s="189" t="s">
        <v>185</v>
      </c>
      <c r="B56" s="190">
        <v>37731</v>
      </c>
      <c r="C56" s="195">
        <v>1</v>
      </c>
    </row>
    <row r="58" spans="1:3" ht="13.9" customHeight="1" x14ac:dyDescent="0.2">
      <c r="A58" s="145" t="s">
        <v>176</v>
      </c>
    </row>
    <row r="59" spans="1:3" ht="48" customHeight="1" x14ac:dyDescent="0.25">
      <c r="A59" s="235" t="s">
        <v>460</v>
      </c>
      <c r="B59" s="235"/>
      <c r="C59" s="235"/>
    </row>
    <row r="60" spans="1:3" ht="16.899999999999999" customHeight="1" x14ac:dyDescent="0.25">
      <c r="A60" s="165"/>
      <c r="B60" s="234">
        <v>2020</v>
      </c>
      <c r="C60" s="234"/>
    </row>
    <row r="61" spans="1:3" ht="16.899999999999999" customHeight="1" x14ac:dyDescent="0.25">
      <c r="A61" s="165"/>
      <c r="B61" s="186" t="s">
        <v>174</v>
      </c>
      <c r="C61" s="186" t="s">
        <v>175</v>
      </c>
    </row>
    <row r="62" spans="1:3" ht="16.899999999999999" customHeight="1" x14ac:dyDescent="0.25">
      <c r="A62" s="148" t="s">
        <v>258</v>
      </c>
      <c r="B62" s="155">
        <v>11791</v>
      </c>
      <c r="C62" s="150">
        <v>0.30407487</v>
      </c>
    </row>
    <row r="63" spans="1:3" ht="16.899999999999999" customHeight="1" x14ac:dyDescent="0.25">
      <c r="A63" s="148" t="s">
        <v>259</v>
      </c>
      <c r="B63" s="155">
        <v>13778</v>
      </c>
      <c r="C63" s="150">
        <v>0.36378103000000001</v>
      </c>
    </row>
    <row r="64" spans="1:3" ht="16.899999999999999" customHeight="1" x14ac:dyDescent="0.25">
      <c r="A64" s="148" t="s">
        <v>260</v>
      </c>
      <c r="B64" s="155">
        <v>5950</v>
      </c>
      <c r="C64" s="150">
        <v>0.15871257</v>
      </c>
    </row>
    <row r="65" spans="1:3" ht="16.899999999999999" customHeight="1" x14ac:dyDescent="0.25">
      <c r="A65" s="148" t="s">
        <v>261</v>
      </c>
      <c r="B65" s="155">
        <v>4341</v>
      </c>
      <c r="C65" s="150">
        <v>0.11364508</v>
      </c>
    </row>
    <row r="66" spans="1:3" ht="16.899999999999999" customHeight="1" x14ac:dyDescent="0.25">
      <c r="A66" s="187" t="s">
        <v>262</v>
      </c>
      <c r="B66" s="188">
        <v>2203</v>
      </c>
      <c r="C66" s="194">
        <v>5.9786449999999998E-2</v>
      </c>
    </row>
    <row r="67" spans="1:3" ht="16.899999999999999" customHeight="1" x14ac:dyDescent="0.25">
      <c r="A67" s="189" t="s">
        <v>185</v>
      </c>
      <c r="B67" s="190">
        <v>38063</v>
      </c>
      <c r="C67" s="195">
        <v>1</v>
      </c>
    </row>
    <row r="69" spans="1:3" ht="13.9" customHeight="1" x14ac:dyDescent="0.2">
      <c r="A69" s="145" t="s">
        <v>176</v>
      </c>
    </row>
    <row r="70" spans="1:3" ht="48" customHeight="1" x14ac:dyDescent="0.25">
      <c r="A70" s="235" t="s">
        <v>461</v>
      </c>
      <c r="B70" s="235"/>
      <c r="C70" s="235"/>
    </row>
    <row r="71" spans="1:3" ht="16.899999999999999" customHeight="1" x14ac:dyDescent="0.25">
      <c r="A71" s="165"/>
      <c r="B71" s="234">
        <v>2020</v>
      </c>
      <c r="C71" s="234"/>
    </row>
    <row r="72" spans="1:3" ht="16.899999999999999" customHeight="1" x14ac:dyDescent="0.25">
      <c r="A72" s="165"/>
      <c r="B72" s="186" t="s">
        <v>174</v>
      </c>
      <c r="C72" s="186" t="s">
        <v>175</v>
      </c>
    </row>
    <row r="73" spans="1:3" ht="16.899999999999999" customHeight="1" x14ac:dyDescent="0.25">
      <c r="A73" s="148" t="s">
        <v>258</v>
      </c>
      <c r="B73" s="155">
        <v>9482</v>
      </c>
      <c r="C73" s="150">
        <v>0.24332980000000001</v>
      </c>
    </row>
    <row r="74" spans="1:3" ht="16.899999999999999" customHeight="1" x14ac:dyDescent="0.25">
      <c r="A74" s="148" t="s">
        <v>259</v>
      </c>
      <c r="B74" s="155">
        <v>13688</v>
      </c>
      <c r="C74" s="150">
        <v>0.35636177000000002</v>
      </c>
    </row>
    <row r="75" spans="1:3" ht="16.899999999999999" customHeight="1" x14ac:dyDescent="0.25">
      <c r="A75" s="148" t="s">
        <v>260</v>
      </c>
      <c r="B75" s="155">
        <v>8266</v>
      </c>
      <c r="C75" s="150">
        <v>0.22426467999999999</v>
      </c>
    </row>
    <row r="76" spans="1:3" ht="16.899999999999999" customHeight="1" x14ac:dyDescent="0.25">
      <c r="A76" s="148" t="s">
        <v>261</v>
      </c>
      <c r="B76" s="155">
        <v>3980</v>
      </c>
      <c r="C76" s="150">
        <v>0.10737864</v>
      </c>
    </row>
    <row r="77" spans="1:3" ht="16.899999999999999" customHeight="1" x14ac:dyDescent="0.25">
      <c r="A77" s="187" t="s">
        <v>262</v>
      </c>
      <c r="B77" s="188">
        <v>2464</v>
      </c>
      <c r="C77" s="194">
        <v>6.8665119999999996E-2</v>
      </c>
    </row>
    <row r="78" spans="1:3" ht="16.899999999999999" customHeight="1" x14ac:dyDescent="0.25">
      <c r="A78" s="189" t="s">
        <v>185</v>
      </c>
      <c r="B78" s="190">
        <v>37880</v>
      </c>
      <c r="C78" s="195">
        <v>1</v>
      </c>
    </row>
    <row r="80" spans="1:3" ht="13.9" customHeight="1" x14ac:dyDescent="0.2">
      <c r="A80" s="145" t="s">
        <v>176</v>
      </c>
    </row>
    <row r="81" spans="1:3" ht="48" customHeight="1" x14ac:dyDescent="0.25">
      <c r="A81" s="235" t="s">
        <v>462</v>
      </c>
      <c r="B81" s="235"/>
      <c r="C81" s="235"/>
    </row>
    <row r="82" spans="1:3" ht="16.899999999999999" customHeight="1" x14ac:dyDescent="0.25">
      <c r="A82" s="165"/>
      <c r="B82" s="234">
        <v>2020</v>
      </c>
      <c r="C82" s="234"/>
    </row>
    <row r="83" spans="1:3" ht="16.899999999999999" customHeight="1" x14ac:dyDescent="0.25">
      <c r="A83" s="165"/>
      <c r="B83" s="186" t="s">
        <v>174</v>
      </c>
      <c r="C83" s="186" t="s">
        <v>175</v>
      </c>
    </row>
    <row r="84" spans="1:3" ht="16.899999999999999" customHeight="1" x14ac:dyDescent="0.25">
      <c r="A84" s="148" t="s">
        <v>285</v>
      </c>
      <c r="B84" s="155">
        <v>20742</v>
      </c>
      <c r="C84" s="150">
        <v>0.57847565000000001</v>
      </c>
    </row>
    <row r="85" spans="1:3" ht="16.899999999999999" customHeight="1" x14ac:dyDescent="0.25">
      <c r="A85" s="187" t="s">
        <v>286</v>
      </c>
      <c r="B85" s="188">
        <v>16727</v>
      </c>
      <c r="C85" s="194">
        <v>0.42152434999999999</v>
      </c>
    </row>
    <row r="86" spans="1:3" ht="16.899999999999999" customHeight="1" x14ac:dyDescent="0.25">
      <c r="A86" s="189" t="s">
        <v>185</v>
      </c>
      <c r="B86" s="190">
        <v>37469</v>
      </c>
      <c r="C86" s="195">
        <v>1</v>
      </c>
    </row>
    <row r="88" spans="1:3" ht="16.149999999999999" customHeight="1" x14ac:dyDescent="0.2">
      <c r="A88" s="192" t="s">
        <v>463</v>
      </c>
    </row>
    <row r="89" spans="1:3" ht="16.149999999999999" customHeight="1" x14ac:dyDescent="0.2">
      <c r="A89" s="193" t="s">
        <v>464</v>
      </c>
    </row>
    <row r="90" spans="1:3" ht="16.149999999999999" customHeight="1" x14ac:dyDescent="0.2">
      <c r="A90" s="193" t="s">
        <v>218</v>
      </c>
    </row>
  </sheetData>
  <sheetProtection algorithmName="SHA-512" hashValue="BRjguUxYegdh2VD7o1PYQs5pkc0MYnOzr6y0NsnoXunk5n/ULXVzr3sw4qfMX14CKV+nualvqstXPMDhClIjWA==" saltValue="XvfnVUwgiAk+lV2vWPS+cw==" spinCount="100000" sheet="1" objects="1" scenarios="1"/>
  <mergeCells count="16">
    <mergeCell ref="A70:C70"/>
    <mergeCell ref="B71:C71"/>
    <mergeCell ref="A81:C81"/>
    <mergeCell ref="B82:C82"/>
    <mergeCell ref="A37:C37"/>
    <mergeCell ref="B38:C38"/>
    <mergeCell ref="A48:C48"/>
    <mergeCell ref="B49:C49"/>
    <mergeCell ref="A59:C59"/>
    <mergeCell ref="B60:C60"/>
    <mergeCell ref="B27:C27"/>
    <mergeCell ref="A3:C3"/>
    <mergeCell ref="B4:C4"/>
    <mergeCell ref="A14:C14"/>
    <mergeCell ref="B15:C15"/>
    <mergeCell ref="A26:C26"/>
  </mergeCells>
  <pageMargins left="0.05" right="0.05" top="0.5" bottom="0.5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B9C4DB"/>
    <pageSetUpPr autoPageBreaks="0"/>
  </sheetPr>
  <dimension ref="A1:BW229"/>
  <sheetViews>
    <sheetView showGridLines="0" showRowColHeaders="0" topLeftCell="B2" zoomScaleNormal="100" zoomScalePageLayoutView="200" workbookViewId="0">
      <selection activeCell="A250" sqref="A250"/>
    </sheetView>
  </sheetViews>
  <sheetFormatPr defaultColWidth="8.85546875" defaultRowHeight="12.75" x14ac:dyDescent="0.2"/>
  <cols>
    <col min="1" max="1" width="3" style="70" customWidth="1"/>
    <col min="2" max="2" width="1.7109375" style="70" customWidth="1"/>
    <col min="3" max="3" width="3" style="70" customWidth="1"/>
    <col min="4" max="4" width="8.85546875" style="70"/>
    <col min="5" max="5" width="11.140625" style="70" customWidth="1"/>
    <col min="6" max="6" width="11.42578125" style="70" customWidth="1"/>
    <col min="7" max="7" width="12" style="70" customWidth="1"/>
    <col min="8" max="8" width="7.85546875" style="70" customWidth="1"/>
    <col min="9" max="9" width="9.140625" style="70" customWidth="1"/>
    <col min="10" max="10" width="16.42578125" style="70" customWidth="1"/>
    <col min="11" max="11" width="9.42578125" style="70" customWidth="1"/>
    <col min="12" max="12" width="12" style="70" customWidth="1"/>
    <col min="13" max="13" width="7.85546875" style="70" customWidth="1"/>
    <col min="14" max="16" width="8.85546875" style="70"/>
    <col min="17" max="17" width="10.28515625" style="70" customWidth="1"/>
    <col min="18" max="19" width="2.7109375" style="70" customWidth="1"/>
    <col min="20" max="37" width="2.7109375" style="71" customWidth="1"/>
    <col min="38" max="38" width="2.7109375" style="72" customWidth="1"/>
    <col min="39" max="39" width="2.7109375" style="73" customWidth="1"/>
    <col min="40" max="56" width="2.7109375" style="72" customWidth="1"/>
    <col min="57" max="62" width="2.7109375" style="112" customWidth="1"/>
    <col min="63" max="76" width="2.7109375" style="70" customWidth="1"/>
    <col min="77" max="16384" width="8.85546875" style="70"/>
  </cols>
  <sheetData>
    <row r="1" spans="2:53" ht="15.75" customHeight="1" thickBot="1" x14ac:dyDescent="0.25">
      <c r="S1" s="5"/>
      <c r="U1" s="3"/>
      <c r="V1" s="3"/>
      <c r="W1" s="3"/>
      <c r="X1" s="3"/>
      <c r="Y1" s="3"/>
      <c r="Z1" s="4"/>
      <c r="AA1" s="4"/>
      <c r="AB1" s="4"/>
      <c r="AC1" s="4"/>
      <c r="AD1" s="72"/>
      <c r="AE1" s="72"/>
      <c r="AF1" s="72"/>
      <c r="AG1" s="72"/>
      <c r="AH1" s="72"/>
      <c r="AI1" s="72"/>
      <c r="AJ1" s="73"/>
      <c r="AK1" s="73"/>
      <c r="AL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</row>
    <row r="2" spans="2:53" ht="15" customHeight="1" x14ac:dyDescent="0.2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5"/>
      <c r="T2" s="5" t="s">
        <v>0</v>
      </c>
      <c r="U2" s="5" t="s">
        <v>83</v>
      </c>
      <c r="V2" s="5" t="s">
        <v>84</v>
      </c>
      <c r="W2" s="3" t="s">
        <v>85</v>
      </c>
      <c r="X2" s="3" t="s">
        <v>86</v>
      </c>
      <c r="Y2" s="3" t="s">
        <v>129</v>
      </c>
      <c r="Z2" s="3" t="s">
        <v>130</v>
      </c>
      <c r="AA2" s="77"/>
      <c r="AB2" s="77"/>
      <c r="AC2" s="77"/>
      <c r="AD2" s="77"/>
      <c r="AE2" s="77"/>
      <c r="AF2" s="77"/>
      <c r="AG2" s="5"/>
      <c r="AH2" s="5"/>
      <c r="AI2" s="5"/>
      <c r="AJ2" s="4"/>
      <c r="AK2" s="73"/>
      <c r="AL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</row>
    <row r="3" spans="2:53" ht="25.5" customHeight="1" x14ac:dyDescent="0.35">
      <c r="B3" s="78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2"/>
      <c r="S3" s="5"/>
      <c r="T3" s="5" t="s">
        <v>110</v>
      </c>
      <c r="U3" s="83">
        <v>37</v>
      </c>
      <c r="V3" s="84">
        <v>0</v>
      </c>
      <c r="W3" s="84">
        <v>37</v>
      </c>
      <c r="X3" s="84">
        <v>0</v>
      </c>
      <c r="Y3" s="84">
        <v>37</v>
      </c>
      <c r="Z3" s="5">
        <v>0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72"/>
      <c r="AM3" s="72"/>
      <c r="AR3" s="73"/>
      <c r="AS3" s="73"/>
      <c r="AT3" s="73"/>
      <c r="AU3" s="73"/>
      <c r="AV3" s="73"/>
      <c r="AW3" s="73"/>
      <c r="AX3" s="73"/>
      <c r="AY3" s="73"/>
      <c r="AZ3" s="73"/>
      <c r="BA3" s="73"/>
    </row>
    <row r="4" spans="2:53" ht="12.75" customHeight="1" x14ac:dyDescent="0.2">
      <c r="B4" s="78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2"/>
      <c r="S4" s="5"/>
      <c r="T4" s="2" t="s">
        <v>12</v>
      </c>
      <c r="U4" s="3" t="s">
        <v>87</v>
      </c>
      <c r="V4" s="3" t="s">
        <v>12</v>
      </c>
      <c r="W4" s="3" t="s">
        <v>88</v>
      </c>
      <c r="X4" s="3" t="s">
        <v>12</v>
      </c>
      <c r="Y4" s="3" t="s">
        <v>89</v>
      </c>
      <c r="Z4" s="3" t="s">
        <v>12</v>
      </c>
      <c r="AA4" s="3" t="s">
        <v>87</v>
      </c>
      <c r="AB4" s="3" t="s">
        <v>12</v>
      </c>
      <c r="AC4" s="3" t="s">
        <v>88</v>
      </c>
      <c r="AD4" s="3" t="s">
        <v>12</v>
      </c>
      <c r="AE4" s="3" t="s">
        <v>89</v>
      </c>
      <c r="AF4" s="3"/>
      <c r="AG4" s="3"/>
      <c r="AH4" s="3"/>
      <c r="AI4" s="3"/>
      <c r="AJ4" s="3"/>
      <c r="AK4" s="72"/>
      <c r="AM4" s="72"/>
      <c r="AR4" s="73"/>
      <c r="AS4" s="73"/>
      <c r="AT4" s="73"/>
      <c r="AU4" s="73"/>
      <c r="AV4" s="73"/>
      <c r="AW4" s="73"/>
      <c r="AX4" s="73"/>
      <c r="AY4" s="73"/>
      <c r="AZ4" s="73"/>
      <c r="BA4" s="73"/>
    </row>
    <row r="5" spans="2:53" ht="12.75" customHeight="1" x14ac:dyDescent="0.2">
      <c r="B5" s="7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2"/>
      <c r="S5" s="5"/>
      <c r="T5" s="2">
        <v>12</v>
      </c>
      <c r="U5" s="85">
        <v>13</v>
      </c>
      <c r="V5" s="2">
        <v>12</v>
      </c>
      <c r="W5" s="85">
        <v>16</v>
      </c>
      <c r="X5" s="2">
        <v>12</v>
      </c>
      <c r="Y5" s="85">
        <v>15</v>
      </c>
      <c r="Z5" s="2"/>
      <c r="AA5" s="85"/>
      <c r="AB5" s="2"/>
      <c r="AC5" s="85"/>
      <c r="AD5" s="3"/>
      <c r="AE5" s="85"/>
      <c r="AF5" s="3"/>
      <c r="AG5" s="3"/>
      <c r="AH5" s="3"/>
      <c r="AI5" s="3"/>
      <c r="AJ5" s="3"/>
      <c r="AK5" s="72"/>
      <c r="AM5" s="72"/>
      <c r="AR5" s="73"/>
      <c r="AS5" s="73"/>
      <c r="AT5" s="73"/>
      <c r="AU5" s="73"/>
      <c r="AV5" s="73"/>
      <c r="AW5" s="73"/>
      <c r="AX5" s="73"/>
      <c r="AY5" s="73"/>
      <c r="AZ5" s="73"/>
      <c r="BA5" s="73"/>
    </row>
    <row r="6" spans="2:53" ht="12.75" customHeight="1" x14ac:dyDescent="0.2">
      <c r="B6" s="78"/>
      <c r="C6" s="80"/>
      <c r="D6" s="80"/>
      <c r="E6" s="80"/>
      <c r="F6" s="80"/>
      <c r="G6" s="80"/>
      <c r="H6" s="80"/>
      <c r="I6" s="80"/>
      <c r="J6" s="86"/>
      <c r="K6" s="80"/>
      <c r="L6" s="80"/>
      <c r="M6" s="80"/>
      <c r="N6" s="80"/>
      <c r="O6" s="80"/>
      <c r="P6" s="80"/>
      <c r="Q6" s="80"/>
      <c r="R6" s="82"/>
      <c r="S6" s="5"/>
      <c r="T6" s="2">
        <v>14</v>
      </c>
      <c r="U6" s="85">
        <v>12</v>
      </c>
      <c r="V6" s="2">
        <v>14</v>
      </c>
      <c r="W6" s="85">
        <v>14</v>
      </c>
      <c r="X6" s="2">
        <v>13</v>
      </c>
      <c r="Y6" s="85">
        <v>15</v>
      </c>
      <c r="Z6" s="2"/>
      <c r="AA6" s="85"/>
      <c r="AB6" s="2"/>
      <c r="AC6" s="85"/>
      <c r="AD6" s="3"/>
      <c r="AE6" s="85"/>
      <c r="AF6" s="3"/>
      <c r="AG6" s="3"/>
      <c r="AH6" s="3"/>
      <c r="AI6" s="3"/>
      <c r="AJ6" s="3"/>
      <c r="AK6" s="72"/>
      <c r="AM6" s="72"/>
      <c r="AR6" s="73"/>
      <c r="AS6" s="73"/>
      <c r="AT6" s="73"/>
      <c r="AU6" s="73"/>
      <c r="AV6" s="73"/>
      <c r="AW6" s="73"/>
      <c r="AX6" s="73"/>
      <c r="AY6" s="73"/>
      <c r="AZ6" s="73"/>
      <c r="BA6" s="73"/>
    </row>
    <row r="7" spans="2:53" ht="18.75" customHeight="1" x14ac:dyDescent="0.2">
      <c r="B7" s="78"/>
      <c r="C7" s="80"/>
      <c r="D7" s="87"/>
      <c r="E7" s="87"/>
      <c r="F7" s="88"/>
      <c r="G7" s="88"/>
      <c r="H7" s="202"/>
      <c r="I7" s="202"/>
      <c r="J7" s="80"/>
      <c r="K7" s="80"/>
      <c r="L7" s="80"/>
      <c r="M7" s="80"/>
      <c r="N7" s="80"/>
      <c r="O7" s="80"/>
      <c r="P7" s="80"/>
      <c r="Q7" s="80"/>
      <c r="R7" s="82"/>
      <c r="S7" s="5"/>
      <c r="T7" s="2">
        <v>10</v>
      </c>
      <c r="U7" s="85">
        <v>10</v>
      </c>
      <c r="V7" s="2">
        <v>26</v>
      </c>
      <c r="W7" s="85">
        <v>12</v>
      </c>
      <c r="X7" s="2">
        <v>14</v>
      </c>
      <c r="Y7" s="85">
        <v>15</v>
      </c>
      <c r="Z7" s="2"/>
      <c r="AA7" s="85"/>
      <c r="AB7" s="2"/>
      <c r="AC7" s="85"/>
      <c r="AD7" s="3"/>
      <c r="AE7" s="85"/>
      <c r="AF7" s="3"/>
      <c r="AG7" s="3"/>
      <c r="AH7" s="3"/>
      <c r="AI7" s="3"/>
      <c r="AJ7" s="3"/>
      <c r="AK7" s="72"/>
      <c r="AM7" s="72"/>
      <c r="AR7" s="73"/>
      <c r="AS7" s="73"/>
      <c r="AT7" s="73"/>
      <c r="AU7" s="73"/>
      <c r="AV7" s="73"/>
      <c r="AW7" s="73"/>
      <c r="AX7" s="73"/>
      <c r="AY7" s="73"/>
      <c r="AZ7" s="73"/>
      <c r="BA7" s="73"/>
    </row>
    <row r="8" spans="2:53" ht="16.5" customHeight="1" x14ac:dyDescent="0.25">
      <c r="B8" s="78"/>
      <c r="C8" s="80"/>
      <c r="D8" s="21"/>
      <c r="E8" s="22"/>
      <c r="F8" s="23"/>
      <c r="G8" s="24"/>
      <c r="H8" s="200"/>
      <c r="I8" s="200"/>
      <c r="J8" s="80"/>
      <c r="K8" s="80"/>
      <c r="L8" s="80"/>
      <c r="M8" s="80"/>
      <c r="N8" s="80"/>
      <c r="O8" s="80"/>
      <c r="P8" s="80"/>
      <c r="Q8" s="80"/>
      <c r="R8" s="82"/>
      <c r="S8" s="5"/>
      <c r="T8" s="2">
        <v>32</v>
      </c>
      <c r="U8" s="85">
        <v>10</v>
      </c>
      <c r="V8" s="2">
        <v>10</v>
      </c>
      <c r="W8" s="85">
        <v>11</v>
      </c>
      <c r="X8" s="2">
        <v>26</v>
      </c>
      <c r="Y8" s="85">
        <v>12</v>
      </c>
      <c r="Z8" s="2"/>
      <c r="AA8" s="85"/>
      <c r="AB8" s="2"/>
      <c r="AC8" s="85"/>
      <c r="AD8" s="3"/>
      <c r="AE8" s="85"/>
      <c r="AF8" s="85"/>
      <c r="AG8" s="3"/>
      <c r="AH8" s="85"/>
      <c r="AI8" s="3"/>
      <c r="AJ8" s="3"/>
      <c r="AK8" s="72"/>
      <c r="AM8" s="72"/>
      <c r="AR8" s="73"/>
      <c r="AS8" s="73"/>
      <c r="AT8" s="73"/>
      <c r="AU8" s="73"/>
      <c r="AV8" s="73"/>
      <c r="AW8" s="73"/>
      <c r="AX8" s="73"/>
      <c r="AY8" s="73"/>
      <c r="AZ8" s="73"/>
      <c r="BA8" s="73"/>
    </row>
    <row r="9" spans="2:53" ht="16.5" customHeight="1" x14ac:dyDescent="0.25">
      <c r="B9" s="78"/>
      <c r="C9" s="80"/>
      <c r="D9" s="21"/>
      <c r="E9" s="22"/>
      <c r="F9" s="25"/>
      <c r="G9" s="24"/>
      <c r="H9" s="200"/>
      <c r="I9" s="200"/>
      <c r="J9" s="80"/>
      <c r="K9" s="80"/>
      <c r="L9" s="80"/>
      <c r="M9" s="80"/>
      <c r="N9" s="80"/>
      <c r="O9" s="80"/>
      <c r="P9" s="80"/>
      <c r="Q9" s="80"/>
      <c r="R9" s="82"/>
      <c r="S9" s="5"/>
      <c r="T9" s="2">
        <v>26</v>
      </c>
      <c r="U9" s="85">
        <v>10</v>
      </c>
      <c r="V9" s="2">
        <v>32</v>
      </c>
      <c r="W9" s="85">
        <v>11</v>
      </c>
      <c r="X9" s="2">
        <v>32</v>
      </c>
      <c r="Y9" s="85">
        <v>11</v>
      </c>
      <c r="Z9" s="2"/>
      <c r="AA9" s="85"/>
      <c r="AB9" s="2"/>
      <c r="AC9" s="85"/>
      <c r="AD9" s="3"/>
      <c r="AE9" s="85"/>
      <c r="AF9" s="3"/>
      <c r="AG9" s="3"/>
      <c r="AH9" s="3"/>
      <c r="AI9" s="3"/>
      <c r="AJ9" s="3"/>
      <c r="AK9" s="89"/>
      <c r="AL9" s="89"/>
      <c r="AM9" s="89"/>
      <c r="AN9" s="89"/>
      <c r="AR9" s="73"/>
      <c r="AS9" s="73"/>
      <c r="AT9" s="73"/>
      <c r="AU9" s="73"/>
      <c r="AV9" s="73"/>
      <c r="AW9" s="73"/>
      <c r="AX9" s="73"/>
      <c r="AY9" s="73"/>
      <c r="AZ9" s="73"/>
      <c r="BA9" s="73"/>
    </row>
    <row r="10" spans="2:53" ht="16.5" customHeight="1" x14ac:dyDescent="0.25">
      <c r="B10" s="78"/>
      <c r="C10" s="80"/>
      <c r="D10" s="22"/>
      <c r="E10" s="22"/>
      <c r="F10" s="25"/>
      <c r="G10" s="24"/>
      <c r="H10" s="200"/>
      <c r="I10" s="200"/>
      <c r="J10" s="80"/>
      <c r="K10" s="80"/>
      <c r="L10" s="80"/>
      <c r="M10" s="90"/>
      <c r="N10" s="80"/>
      <c r="O10" s="80"/>
      <c r="P10" s="80"/>
      <c r="Q10" s="80"/>
      <c r="R10" s="82"/>
      <c r="S10" s="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7"/>
      <c r="AG10" s="3"/>
      <c r="AH10" s="3"/>
      <c r="AI10" s="3"/>
      <c r="AJ10" s="3"/>
      <c r="AK10" s="89"/>
      <c r="AL10" s="89"/>
      <c r="AM10" s="89"/>
      <c r="AN10" s="89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2:53" ht="16.5" customHeight="1" x14ac:dyDescent="0.25">
      <c r="B11" s="78"/>
      <c r="C11" s="80"/>
      <c r="D11" s="22"/>
      <c r="E11" s="22"/>
      <c r="F11" s="25"/>
      <c r="G11" s="24"/>
      <c r="H11" s="200"/>
      <c r="I11" s="200"/>
      <c r="J11" s="80"/>
      <c r="K11" s="80"/>
      <c r="L11" s="80"/>
      <c r="M11" s="80"/>
      <c r="N11" s="80"/>
      <c r="O11" s="80"/>
      <c r="P11" s="80"/>
      <c r="Q11" s="80"/>
      <c r="R11" s="82"/>
      <c r="S11" s="5"/>
      <c r="T11" s="2" t="s">
        <v>37</v>
      </c>
      <c r="U11" s="2">
        <v>1</v>
      </c>
      <c r="V11" s="2" t="str">
        <f>CHOOSE(U11, W33, W34,W35, W36, W37, W38)</f>
        <v>Largest Increases in Percent Positive since 2019</v>
      </c>
      <c r="W11" s="2">
        <f>CHOOSE(U11, T5,V5,X5,Z5,AB5,AD5)</f>
        <v>12</v>
      </c>
      <c r="X11" s="85">
        <f>CHOOSE(U11,U5,W5,Y5, AA5,AC5,AE5)</f>
        <v>13</v>
      </c>
      <c r="Y11" s="2">
        <f>CHOOSE(U11, T6,V6,X6,Z6,AB6,AD6)</f>
        <v>14</v>
      </c>
      <c r="Z11" s="85">
        <f>CHOOSE(U11, U6,W6,Y6,AA6,AC6,AE6)</f>
        <v>12</v>
      </c>
      <c r="AA11" s="2">
        <f>CHOOSE(U11, T7, V7, X7,Z7,AB7,AD7)</f>
        <v>10</v>
      </c>
      <c r="AB11" s="85">
        <f>CHOOSE(U11, U7,W7,Y7,AA7,AC7,AE7)</f>
        <v>10</v>
      </c>
      <c r="AC11" s="2">
        <f>CHOOSE(U11, T8,V8,X8,Z8,AB8,AD8)</f>
        <v>32</v>
      </c>
      <c r="AD11" s="85">
        <f>CHOOSE(U11, U8,W8,Y8,AA8,AC8,AE8)</f>
        <v>10</v>
      </c>
      <c r="AE11" s="2">
        <f>CHOOSE(U11, T9,V9,X9,Z9,AB9,AD9)</f>
        <v>26</v>
      </c>
      <c r="AF11" s="85">
        <f>CHOOSE(U11, U9,W9,Y9,AA9,AC9,AE9)</f>
        <v>10</v>
      </c>
      <c r="AG11" s="3"/>
      <c r="AH11" s="3"/>
      <c r="AI11" s="3"/>
      <c r="AJ11" s="3"/>
      <c r="AK11" s="89"/>
      <c r="AL11" s="89"/>
      <c r="AM11" s="89"/>
      <c r="AN11" s="89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2:53" ht="16.5" customHeight="1" x14ac:dyDescent="0.25">
      <c r="B12" s="78"/>
      <c r="C12" s="80"/>
      <c r="D12" s="22"/>
      <c r="E12" s="22"/>
      <c r="F12" s="25"/>
      <c r="G12" s="24"/>
      <c r="H12" s="200"/>
      <c r="I12" s="200"/>
      <c r="J12" s="80"/>
      <c r="K12" s="80"/>
      <c r="L12" s="80"/>
      <c r="M12" s="80"/>
      <c r="N12" s="80"/>
      <c r="O12" s="80"/>
      <c r="P12" s="80"/>
      <c r="Q12" s="80"/>
      <c r="R12" s="82"/>
      <c r="S12" s="5"/>
      <c r="T12" s="2" t="s">
        <v>39</v>
      </c>
      <c r="U12" s="2">
        <v>4</v>
      </c>
      <c r="V12" s="2" t="str">
        <f>CHOOSE(U12, W33, W34, W35, W36, W37, W38)</f>
        <v>Largest Decreases in Percent Positive since 2019</v>
      </c>
      <c r="W12" s="2">
        <f>CHOOSE(U12, T5,V5,X5,Z5,AB5,AD5)</f>
        <v>0</v>
      </c>
      <c r="X12" s="85">
        <f>CHOOSE(U12,U5,W5,Y5, AA5,AC5,AE5)</f>
        <v>0</v>
      </c>
      <c r="Y12" s="2">
        <f>CHOOSE(U12, T6,V6,X6,Z6,AB6,AD6)</f>
        <v>0</v>
      </c>
      <c r="Z12" s="85">
        <f>CHOOSE(U12,U6,W6,Y6,AA6,AC6,AE6)</f>
        <v>0</v>
      </c>
      <c r="AA12" s="2">
        <f>CHOOSE(U12, T7,V7,X7,Z7,AB7,AD7)</f>
        <v>0</v>
      </c>
      <c r="AB12" s="85">
        <f>CHOOSE(U12, U7,W7,Y7,AA7,AC7,AE7)</f>
        <v>0</v>
      </c>
      <c r="AC12" s="2">
        <f>CHOOSE(U12,T8,V8,X8, Z8,AB8,AD8)</f>
        <v>0</v>
      </c>
      <c r="AD12" s="85">
        <f>CHOOSE(U12, U8,W8,Y8,AA8,AC8,AE8)</f>
        <v>0</v>
      </c>
      <c r="AE12" s="2">
        <f>CHOOSE(U12, T9,V9,X9,Z9,AB9,AD9)</f>
        <v>0</v>
      </c>
      <c r="AF12" s="85">
        <f>CHOOSE(U12, U9,W9,Y9,AA9,AC9,AE9)</f>
        <v>0</v>
      </c>
      <c r="AG12" s="5"/>
      <c r="AH12" s="5"/>
      <c r="AI12" s="3"/>
      <c r="AJ12" s="27"/>
      <c r="AK12" s="89"/>
      <c r="AL12" s="89"/>
      <c r="AM12" s="89"/>
      <c r="AN12" s="89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2:53" ht="16.5" customHeight="1" x14ac:dyDescent="0.25">
      <c r="B13" s="78"/>
      <c r="C13" s="80"/>
      <c r="D13" s="196"/>
      <c r="E13" s="196"/>
      <c r="F13" s="28"/>
      <c r="G13" s="29"/>
      <c r="H13" s="197"/>
      <c r="I13" s="197"/>
      <c r="J13" s="80"/>
      <c r="K13" s="80"/>
      <c r="L13" s="80"/>
      <c r="M13" s="80"/>
      <c r="N13" s="80"/>
      <c r="O13" s="80"/>
      <c r="P13" s="80"/>
      <c r="Q13" s="80"/>
      <c r="R13" s="82"/>
      <c r="S13" s="5"/>
      <c r="T13" s="2"/>
      <c r="U13" s="26"/>
      <c r="V13" s="2" t="s">
        <v>37</v>
      </c>
      <c r="W13" s="26" t="str">
        <f>IF(W11=0,"",CONCATENATE("Q"&amp;W11))</f>
        <v>Q12</v>
      </c>
      <c r="X13" s="14" t="str">
        <f>IF(W11=0,IF(AND(U31&lt;5, U31&lt;&gt;0),"",IF(U31="--","No trending data available",IF(U11&lt;4,"No items increased", "No items decreased"))),VLOOKUP(W11,B43:C126,2,FALSE))</f>
        <v>In my work unit, differences in performance are recognized in a meaningful way.</v>
      </c>
      <c r="Y13" s="26" t="str">
        <f>IF(Y11=0,"",CONCATENATE("Q"&amp;Y11))</f>
        <v>Q14</v>
      </c>
      <c r="Z13" s="14" t="str">
        <f>IF(Y11=0,"",VLOOKUP(Y11,B43:C126,2,FALSE))</f>
        <v>Employees are recognized for providing high quality products and services.</v>
      </c>
      <c r="AA13" s="26" t="str">
        <f>IF(AA11=0,"",CONCATENATE("Q"&amp;AA11))</f>
        <v>Q10</v>
      </c>
      <c r="AB13" s="14" t="str">
        <f>IF(AA11=0,"",VLOOKUP(AA11,B43:C126,2,FALSE))</f>
        <v>In my work unit, steps are taken to deal with a poor performer who cannot or will not improve.</v>
      </c>
      <c r="AC13" s="26" t="str">
        <f>IF(AC11=0,"",CONCATENATE("Q"&amp;AC11))</f>
        <v>Q32</v>
      </c>
      <c r="AD13" s="14" t="str">
        <f>IF(AC11=0,"",VLOOKUP(AC11,B43:C126,2,FALSE))</f>
        <v>Senior leaders demonstrate support for Work-Life programs.</v>
      </c>
      <c r="AE13" s="26" t="str">
        <f>IF(AE11=0,"",CONCATENATE("Q"&amp;AE11))</f>
        <v>Q26</v>
      </c>
      <c r="AF13" s="14" t="str">
        <f>IF(AE11=0,"",VLOOKUP(AE11,B43:C126,2,FALSE))</f>
        <v>In my organization, senior leaders generate high levels of motivation and commitment in the workforce.</v>
      </c>
      <c r="AG13" s="5"/>
      <c r="AH13" s="5"/>
      <c r="AI13" s="3"/>
      <c r="AJ13" s="27"/>
      <c r="AK13" s="89"/>
      <c r="AL13" s="89"/>
      <c r="AM13" s="89"/>
      <c r="AN13" s="89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2:53" ht="13.5" customHeight="1" x14ac:dyDescent="0.25">
      <c r="B14" s="78"/>
      <c r="C14" s="80"/>
      <c r="D14" s="91"/>
      <c r="E14" s="91"/>
      <c r="F14" s="91"/>
      <c r="G14" s="91"/>
      <c r="H14" s="91"/>
      <c r="I14" s="91"/>
      <c r="J14" s="80"/>
      <c r="K14" s="80"/>
      <c r="L14" s="92"/>
      <c r="M14" s="80"/>
      <c r="N14" s="80"/>
      <c r="O14" s="80"/>
      <c r="P14" s="80"/>
      <c r="Q14" s="80"/>
      <c r="R14" s="82"/>
      <c r="S14" s="5"/>
      <c r="T14" s="2"/>
      <c r="U14" s="26"/>
      <c r="V14" s="2" t="s">
        <v>39</v>
      </c>
      <c r="W14" s="26" t="str">
        <f>IF(W12=0,"",CONCATENATE("Q"&amp;W12))</f>
        <v/>
      </c>
      <c r="X14" s="14" t="str">
        <f>IF(W12=0,IF(AND(U32&lt;5, U32&lt;&gt;0),"",IF(U32="--","No trending data available",IF(U12&lt;4,"No items increased", "No items decreased"))),VLOOKUP(W12,B43:C126,2,FALSE))</f>
        <v>No items decreased</v>
      </c>
      <c r="Y14" s="26" t="str">
        <f>IF(Y12=0,"",CONCATENATE("Q"&amp;Y12))</f>
        <v/>
      </c>
      <c r="Z14" s="14" t="str">
        <f>IF(Y12=0,"",VLOOKUP(Y12,B43:C126,2,FALSE))</f>
        <v/>
      </c>
      <c r="AA14" s="26" t="str">
        <f>IF(AA12=0,"",CONCATENATE("Q"&amp;AA12))</f>
        <v/>
      </c>
      <c r="AB14" s="14" t="str">
        <f>IF(AA12=0,"",VLOOKUP(AA12,B43:C126,2,FALSE))</f>
        <v/>
      </c>
      <c r="AC14" s="26" t="str">
        <f>IF(AC12=0,"",CONCATENATE("Q"&amp;AC12))</f>
        <v/>
      </c>
      <c r="AD14" s="14" t="str">
        <f>IF(AC12=0,"",VLOOKUP(AC12,B43:C126,2,FALSE))</f>
        <v/>
      </c>
      <c r="AE14" s="26" t="str">
        <f>IF(AE12=0,"",CONCATENATE("Q"&amp;AE12))</f>
        <v/>
      </c>
      <c r="AF14" s="14" t="str">
        <f>IF(AE12=0,"",VLOOKUP(AE12,B43:C126,2,FALSE))</f>
        <v/>
      </c>
      <c r="AG14" s="3"/>
      <c r="AH14" s="3"/>
      <c r="AI14" s="3"/>
      <c r="AJ14" s="32"/>
      <c r="AK14" s="93"/>
      <c r="AL14" s="93"/>
      <c r="AM14" s="93"/>
      <c r="AN14" s="93"/>
      <c r="AR14" s="73"/>
      <c r="AS14" s="73"/>
      <c r="AT14" s="73"/>
      <c r="AU14" s="73"/>
      <c r="AV14" s="73"/>
      <c r="AW14" s="73"/>
      <c r="AX14" s="73"/>
      <c r="AY14" s="73"/>
      <c r="AZ14" s="73"/>
      <c r="BA14" s="73"/>
    </row>
    <row r="15" spans="2:53" ht="12.75" customHeight="1" x14ac:dyDescent="0.2">
      <c r="B15" s="78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2"/>
      <c r="S15" s="5"/>
      <c r="T15" s="3"/>
      <c r="U15" s="58"/>
      <c r="V15" s="2"/>
      <c r="W15" s="3"/>
      <c r="X15" s="3"/>
      <c r="Y15" s="3"/>
      <c r="Z15" s="3"/>
      <c r="AA15" s="5"/>
      <c r="AB15" s="59"/>
      <c r="AC15" s="27"/>
      <c r="AD15" s="59"/>
      <c r="AE15" s="56"/>
      <c r="AF15" s="5"/>
      <c r="AG15" s="3"/>
      <c r="AH15" s="3"/>
      <c r="AI15" s="5"/>
      <c r="AJ15" s="5"/>
      <c r="AK15" s="72"/>
      <c r="AM15" s="72"/>
      <c r="AR15" s="73"/>
      <c r="AS15" s="73"/>
      <c r="AT15" s="73"/>
      <c r="AU15" s="73"/>
      <c r="AV15" s="73"/>
      <c r="AW15" s="73"/>
      <c r="AX15" s="73"/>
      <c r="AY15" s="73"/>
      <c r="AZ15" s="73"/>
      <c r="BA15" s="73"/>
    </row>
    <row r="16" spans="2:53" ht="13.5" customHeight="1" x14ac:dyDescent="0.2">
      <c r="B16" s="78"/>
      <c r="C16" s="80"/>
      <c r="D16" s="203">
        <f>U31</f>
        <v>37</v>
      </c>
      <c r="E16" s="94"/>
      <c r="F16" s="95"/>
      <c r="G16" s="95"/>
      <c r="H16" s="80"/>
      <c r="I16" s="94"/>
      <c r="J16" s="94"/>
      <c r="K16" s="95"/>
      <c r="L16" s="95"/>
      <c r="M16" s="80"/>
      <c r="N16" s="80"/>
      <c r="O16" s="80"/>
      <c r="P16" s="80"/>
      <c r="Q16" s="80"/>
      <c r="R16" s="82"/>
      <c r="S16" s="5"/>
      <c r="T16" s="3"/>
      <c r="U16" s="58"/>
      <c r="V16" s="59" t="s">
        <v>37</v>
      </c>
      <c r="W16" s="56">
        <f>IF(W11=0, "",IF(VLOOKUP(W11, B43:G126, 3,FALSE) &lt;&gt; "", VLOOKUP(W11, B43:G126, 3,FALSE),  "--"))</f>
        <v>0.39</v>
      </c>
      <c r="X16" s="56">
        <f>IF(W11=0, "",IF(VLOOKUP(W11, B43:G126, 4,FALSE) &lt;&gt; "", VLOOKUP(W11, B43:G126, 4,FALSE),  "--"))</f>
        <v>0.38</v>
      </c>
      <c r="Y16" s="56">
        <f>IF(W11=0, "",IF(VLOOKUP(W11, B43:G126, 5,FALSE) &lt;&gt; "", VLOOKUP(W11, B43:G126, 5,FALSE),  "--"))</f>
        <v>0.41</v>
      </c>
      <c r="Z16" s="56">
        <f>IF(W11=0, "",IF(VLOOKUP(W11, B43:G126,6,FALSE) &lt;&gt; "", VLOOKUP(W11, B43:G126, 6,FALSE),  "--"))</f>
        <v>0.54</v>
      </c>
      <c r="AA16" s="96">
        <f>IF(OR(U11 = 3, U11=6),"", W16)</f>
        <v>0.39</v>
      </c>
      <c r="AB16" s="96">
        <f>IF(OR(U11 = 2, U11=5),"", X16)</f>
        <v>0.38</v>
      </c>
      <c r="AC16" s="96" t="str">
        <f>IF(OR(U11 = 1, U11=4),"", Y16)</f>
        <v/>
      </c>
      <c r="AD16" s="96"/>
      <c r="AE16" s="97" t="str">
        <f>IF(OR(U11 = 3, U11=6),W16, "")</f>
        <v/>
      </c>
      <c r="AF16" s="97" t="str">
        <f>IF(OR(U11 = 2, U11=5),X16, "")</f>
        <v/>
      </c>
      <c r="AG16" s="97">
        <f>IF(OR(U11 = 1, U11=4),Y16, "")</f>
        <v>0.41</v>
      </c>
      <c r="AH16" s="97"/>
      <c r="AI16" s="97" t="str">
        <f t="shared" ref="AI16:AJ16" si="0">IF(Y11=1,AA16, "")</f>
        <v/>
      </c>
      <c r="AJ16" s="97" t="str">
        <f t="shared" si="0"/>
        <v/>
      </c>
      <c r="AK16" s="98"/>
      <c r="AL16" s="98"/>
      <c r="AM16" s="72"/>
      <c r="AR16" s="73"/>
      <c r="AS16" s="73"/>
      <c r="AT16" s="73"/>
      <c r="AU16" s="73"/>
      <c r="AV16" s="73"/>
      <c r="AW16" s="73"/>
      <c r="AX16" s="73"/>
      <c r="AY16" s="73"/>
      <c r="AZ16" s="73"/>
      <c r="BA16" s="73"/>
    </row>
    <row r="17" spans="2:53" ht="12.75" customHeight="1" x14ac:dyDescent="0.25">
      <c r="B17" s="78"/>
      <c r="C17" s="80"/>
      <c r="D17" s="204"/>
      <c r="E17" s="99"/>
      <c r="F17" s="100"/>
      <c r="G17" s="101"/>
      <c r="H17" s="80"/>
      <c r="I17" s="99"/>
      <c r="J17" s="99"/>
      <c r="K17" s="100"/>
      <c r="L17" s="101"/>
      <c r="M17" s="80"/>
      <c r="N17" s="80"/>
      <c r="O17" s="80"/>
      <c r="P17" s="80"/>
      <c r="Q17" s="80"/>
      <c r="R17" s="82"/>
      <c r="S17" s="5"/>
      <c r="T17" s="5"/>
      <c r="U17" s="58"/>
      <c r="V17" s="3"/>
      <c r="W17" s="56">
        <f>IF(Y11=0, "",IF(VLOOKUP(Y11, B43:G126, 3,FALSE) &lt;&gt; "", VLOOKUP(Y11, B43:G126, 3,FALSE),  "--"))</f>
        <v>0.51</v>
      </c>
      <c r="X17" s="56">
        <f>IF(Y11=0, "",IF(VLOOKUP(Y11, B43:G126, 4,FALSE) &lt;&gt;"", VLOOKUP(Y11, B43:G126, 4,FALSE),  "--"))</f>
        <v>0.52</v>
      </c>
      <c r="Y17" s="56">
        <f>IF(Y11=0, "",IF(VLOOKUP(Y11, B43:G126, 5,FALSE) &lt;&gt; "", VLOOKUP(Y11, B43:G126,5,FALSE),  "--"))</f>
        <v>0.54</v>
      </c>
      <c r="Z17" s="56">
        <f>IF(Y11=0, "",IF(VLOOKUP(Y11, B43:G126, 6,FALSE) &lt;&gt; "", VLOOKUP(Y11, B43:G126, 6,FALSE),  "--"))</f>
        <v>0.66</v>
      </c>
      <c r="AA17" s="96">
        <f>IF(OR(U11 = 3, U11=6),"", W17)</f>
        <v>0.51</v>
      </c>
      <c r="AB17" s="96">
        <f>IF(OR(U11 = 2, U11=5),"", X17)</f>
        <v>0.52</v>
      </c>
      <c r="AC17" s="96" t="str">
        <f>IF(OR(U11 = 1, U11=4),"", Y17)</f>
        <v/>
      </c>
      <c r="AD17" s="59"/>
      <c r="AE17" s="97" t="str">
        <f>IF(OR(U11 = 3, U11=6),W17, "")</f>
        <v/>
      </c>
      <c r="AF17" s="97" t="str">
        <f>IF(OR(U11 = 2, U11=5),X17, "")</f>
        <v/>
      </c>
      <c r="AG17" s="97">
        <f>IF(OR(U11 = 1, U11=4),Y17, "")</f>
        <v>0.54</v>
      </c>
      <c r="AH17" s="102"/>
      <c r="AI17" s="102"/>
      <c r="AJ17" s="103"/>
      <c r="AK17" s="98"/>
      <c r="AL17" s="98"/>
      <c r="AM17" s="72"/>
      <c r="AR17" s="73"/>
      <c r="AS17" s="73"/>
      <c r="AT17" s="73"/>
      <c r="AU17" s="73"/>
      <c r="AV17" s="73"/>
      <c r="AW17" s="73"/>
      <c r="AX17" s="73"/>
      <c r="AY17" s="73"/>
      <c r="AZ17" s="73"/>
      <c r="BA17" s="73"/>
    </row>
    <row r="18" spans="2:53" ht="12.75" customHeight="1" x14ac:dyDescent="0.25">
      <c r="B18" s="78"/>
      <c r="C18" s="80"/>
      <c r="D18" s="204"/>
      <c r="E18" s="99"/>
      <c r="F18" s="100"/>
      <c r="G18" s="101"/>
      <c r="H18" s="80"/>
      <c r="I18" s="99"/>
      <c r="J18" s="99"/>
      <c r="K18" s="100"/>
      <c r="L18" s="101"/>
      <c r="M18" s="80"/>
      <c r="N18" s="80"/>
      <c r="O18" s="80"/>
      <c r="P18" s="80"/>
      <c r="Q18" s="80"/>
      <c r="R18" s="82"/>
      <c r="S18" s="5"/>
      <c r="T18" s="5"/>
      <c r="U18" s="5"/>
      <c r="V18" s="3"/>
      <c r="W18" s="56">
        <f>IF(AA11=0, "",IF(VLOOKUP(AA11, B43:G126, 3,FALSE) &lt;&gt; "", VLOOKUP(AA11, B43:G126, 3,FALSE),  "--"))</f>
        <v>0.36</v>
      </c>
      <c r="X18" s="56">
        <f>IF(AA11=0, "",IF(VLOOKUP(AA11, B43:G126,4,FALSE) &lt;&gt; "", VLOOKUP(AA11, B43:G126, 4,FALSE),  "--"))</f>
        <v>0.36</v>
      </c>
      <c r="Y18" s="56">
        <f>IF(AA11=0, "",IF(VLOOKUP(AA11, B43:G126, 5,FALSE) &lt;&gt; "", VLOOKUP(AA11, B43:G126, 5,FALSE),  "--"))</f>
        <v>0.37</v>
      </c>
      <c r="Z18" s="56">
        <f>IF(AA11=0, "",IF(VLOOKUP(AA11, B43:G126, 6,FALSE) &lt;&gt;"", VLOOKUP(AA11, B43:G126, 6,FALSE),  "--"))</f>
        <v>0.47</v>
      </c>
      <c r="AA18" s="96">
        <f>IF(OR(U11 = 3, U11=6),"", W18)</f>
        <v>0.36</v>
      </c>
      <c r="AB18" s="96">
        <f>IF(OR(U11 = 2, U11=5),"", X18)</f>
        <v>0.36</v>
      </c>
      <c r="AC18" s="96" t="str">
        <f>IF(OR(U11 = 1, U11=4),"", Y18)</f>
        <v/>
      </c>
      <c r="AD18" s="27"/>
      <c r="AE18" s="97" t="str">
        <f>IF(OR(U11 = 3, U11=6),W18, "")</f>
        <v/>
      </c>
      <c r="AF18" s="97" t="str">
        <f>IF(OR(U11 = 2, U11=5),X18, "")</f>
        <v/>
      </c>
      <c r="AG18" s="97">
        <f>IF(OR(U11 = 1, U11=4),Y18, "")</f>
        <v>0.37</v>
      </c>
      <c r="AH18" s="102"/>
      <c r="AI18" s="103"/>
      <c r="AJ18" s="103"/>
      <c r="AK18" s="98"/>
      <c r="AL18" s="98"/>
      <c r="AM18" s="72"/>
      <c r="AR18" s="73"/>
      <c r="AS18" s="73"/>
      <c r="AT18" s="73"/>
      <c r="AU18" s="73"/>
      <c r="AV18" s="73"/>
      <c r="AW18" s="73"/>
      <c r="AX18" s="73"/>
      <c r="AY18" s="73"/>
      <c r="AZ18" s="73"/>
      <c r="BA18" s="73"/>
    </row>
    <row r="19" spans="2:53" ht="12.75" customHeight="1" x14ac:dyDescent="0.25">
      <c r="B19" s="78"/>
      <c r="C19" s="80"/>
      <c r="D19" s="205"/>
      <c r="E19" s="99"/>
      <c r="F19" s="100"/>
      <c r="G19" s="101"/>
      <c r="H19" s="80"/>
      <c r="I19" s="99"/>
      <c r="J19" s="99"/>
      <c r="K19" s="100"/>
      <c r="L19" s="101"/>
      <c r="M19" s="80"/>
      <c r="N19" s="80"/>
      <c r="O19" s="80"/>
      <c r="P19" s="80"/>
      <c r="Q19" s="80"/>
      <c r="R19" s="82"/>
      <c r="S19" s="5"/>
      <c r="T19" s="5"/>
      <c r="U19" s="5"/>
      <c r="V19" s="3"/>
      <c r="W19" s="56">
        <f>IF(AC11=0, "",IF(VLOOKUP(AC11, B43:G126, 3,FALSE) &lt;&gt; "", VLOOKUP(AC11, B43:G126, 3,FALSE),  "--"))</f>
        <v>0.59</v>
      </c>
      <c r="X19" s="56">
        <f>IF(AC11=0, "",IF(VLOOKUP(AC11, B43:G126, 4,FALSE) &lt;&gt; "", VLOOKUP(AC11, B43:G126,4,FALSE),  "--"))</f>
        <v>0.59</v>
      </c>
      <c r="Y19" s="56">
        <f>IF(AC11=0, "",IF(VLOOKUP(AC11, B43:G126, 5,FALSE) &lt;&gt; "", VLOOKUP(AC11, B43:G126,5,FALSE),  "--"))</f>
        <v>0.6</v>
      </c>
      <c r="Z19" s="56">
        <f>IF(AC11=0, "",IF(VLOOKUP(AC11, B43:G126, 6,FALSE) &lt;&gt; "", VLOOKUP(AC11, B43:G126,6,FALSE),  "--"))</f>
        <v>0.7</v>
      </c>
      <c r="AA19" s="96">
        <f>IF(OR(U11 = 3, U11=6),"", W19)</f>
        <v>0.59</v>
      </c>
      <c r="AB19" s="96">
        <f>IF(OR(U11 = 2, U11=5),"", X19)</f>
        <v>0.59</v>
      </c>
      <c r="AC19" s="96" t="str">
        <f>IF(OR(U11 = 1, U11=4),"", Y19)</f>
        <v/>
      </c>
      <c r="AD19" s="27"/>
      <c r="AE19" s="97" t="str">
        <f>IF(OR(U11 = 3, U11=6),W19, "")</f>
        <v/>
      </c>
      <c r="AF19" s="97" t="str">
        <f>IF(OR(U11 = 2, U11=5),X19, "")</f>
        <v/>
      </c>
      <c r="AG19" s="97">
        <f>IF(OR(U11 = 1, U11=4),Y19, "")</f>
        <v>0.6</v>
      </c>
      <c r="AH19" s="103"/>
      <c r="AI19" s="103"/>
      <c r="AJ19" s="103"/>
      <c r="AK19" s="98"/>
      <c r="AL19" s="98"/>
      <c r="AM19" s="72"/>
      <c r="AR19" s="73"/>
      <c r="AS19" s="73"/>
      <c r="AT19" s="73"/>
      <c r="AU19" s="73"/>
      <c r="AV19" s="73"/>
      <c r="AW19" s="73"/>
      <c r="AX19" s="73"/>
      <c r="AY19" s="73"/>
      <c r="AZ19" s="73"/>
      <c r="BA19" s="73"/>
    </row>
    <row r="20" spans="2:53" ht="12.75" customHeight="1" x14ac:dyDescent="0.25">
      <c r="B20" s="78"/>
      <c r="C20" s="80"/>
      <c r="D20" s="99"/>
      <c r="E20" s="99"/>
      <c r="F20" s="100"/>
      <c r="G20" s="101"/>
      <c r="H20" s="80"/>
      <c r="I20" s="99"/>
      <c r="J20" s="99"/>
      <c r="K20" s="100"/>
      <c r="L20" s="101"/>
      <c r="M20" s="80"/>
      <c r="N20" s="80"/>
      <c r="O20" s="80"/>
      <c r="P20" s="80"/>
      <c r="Q20" s="80"/>
      <c r="R20" s="82"/>
      <c r="S20" s="5"/>
      <c r="T20" s="3"/>
      <c r="U20" s="5"/>
      <c r="V20" s="3"/>
      <c r="W20" s="56">
        <f>IF(AE11=0, "",IF(VLOOKUP(AE11, B43:G126, 3,FALSE) &lt;&gt; "", VLOOKUP(AE11, B43:G126, 3,FALSE),  "--"))</f>
        <v>0.42</v>
      </c>
      <c r="X20" s="56">
        <f>IF(AE11=0, "",IF(VLOOKUP(AE11, B43:G126, 4,FALSE) &lt;&gt;"", VLOOKUP(AE11, B43:G126, 4,FALSE),  "--"))</f>
        <v>0.42</v>
      </c>
      <c r="Y20" s="56">
        <f>IF(AE11=0, "",IF(VLOOKUP(AE11, B43:G126,5,FALSE) &lt;&gt; "", VLOOKUP(AE11, B43:G126,5,FALSE),  "--"))</f>
        <v>0.44</v>
      </c>
      <c r="Z20" s="56">
        <f>IF(AE11=0, "",IF(VLOOKUP(AE11, B43:G126, 6,FALSE) &lt;&gt; "", VLOOKUP(AE11, B43:G126, 6,FALSE),  "--"))</f>
        <v>0.54</v>
      </c>
      <c r="AA20" s="96">
        <f>IF(OR(U11 = 3, U11=6),"", W20)</f>
        <v>0.42</v>
      </c>
      <c r="AB20" s="96">
        <f>IF(OR(U11 = 2, U11=5),"", X20)</f>
        <v>0.42</v>
      </c>
      <c r="AC20" s="96" t="str">
        <f>IF(OR(U11 = 1, U11=4),"", Y20)</f>
        <v/>
      </c>
      <c r="AD20" s="5"/>
      <c r="AE20" s="97" t="str">
        <f>IF(OR(U11 = 3, U11=6),W20, "")</f>
        <v/>
      </c>
      <c r="AF20" s="97" t="str">
        <f>IF(OR(U11 = 2, U11=5),X20, "")</f>
        <v/>
      </c>
      <c r="AG20" s="97">
        <f>IF(OR(U11 = 1, U11=4),Y20, "")</f>
        <v>0.44</v>
      </c>
      <c r="AH20" s="103"/>
      <c r="AI20" s="103"/>
      <c r="AJ20" s="103"/>
      <c r="AK20" s="98"/>
      <c r="AL20" s="98"/>
      <c r="AM20" s="72"/>
      <c r="AR20" s="73"/>
      <c r="AS20" s="73"/>
      <c r="AT20" s="73"/>
      <c r="AU20" s="73"/>
      <c r="AV20" s="73"/>
      <c r="AW20" s="73"/>
      <c r="AX20" s="73"/>
      <c r="AY20" s="73"/>
      <c r="AZ20" s="73"/>
      <c r="BA20" s="73"/>
    </row>
    <row r="21" spans="2:53" ht="12.75" customHeight="1" x14ac:dyDescent="0.25">
      <c r="B21" s="78"/>
      <c r="C21" s="80"/>
      <c r="D21" s="99"/>
      <c r="E21" s="99"/>
      <c r="F21" s="100"/>
      <c r="G21" s="101"/>
      <c r="H21" s="80"/>
      <c r="I21" s="99"/>
      <c r="J21" s="99"/>
      <c r="K21" s="100"/>
      <c r="L21" s="101"/>
      <c r="M21" s="80"/>
      <c r="N21" s="80"/>
      <c r="O21" s="80"/>
      <c r="P21" s="80"/>
      <c r="Q21" s="80"/>
      <c r="R21" s="82"/>
      <c r="S21" s="5"/>
      <c r="T21" s="3"/>
      <c r="U21" s="5"/>
      <c r="V21" s="3" t="s">
        <v>39</v>
      </c>
      <c r="W21" s="56" t="str">
        <f>IF(W12=0, "",IF(VLOOKUP(W12, B43:G126, 3,FALSE) &lt;&gt; "", VLOOKUP(W12, B43:G126, 3,FALSE),  "--"))</f>
        <v/>
      </c>
      <c r="X21" s="56" t="str">
        <f>IF(W12=0, "",IF(VLOOKUP(W12, B43:G126, 4,FALSE) &lt;&gt; "", VLOOKUP(W12, B43:G126, 4,FALSE),  "--"))</f>
        <v/>
      </c>
      <c r="Y21" s="56" t="str">
        <f>IF(W12=0, "",IF(VLOOKUP(W12, B43:G126, 5,FALSE) &lt;&gt; "", VLOOKUP(W12, B43:G126, 5,FALSE),  "--"))</f>
        <v/>
      </c>
      <c r="Z21" s="56" t="str">
        <f>IF(W12=0, "",IF(VLOOKUP(W12, B43:G126, 6,FALSE) &lt;&gt; "", VLOOKUP(W12, B43:G126, 6,FALSE),  "--"))</f>
        <v/>
      </c>
      <c r="AA21" s="96" t="str">
        <f>IF(OR(U12 = 3, U12=6),"", W21)</f>
        <v/>
      </c>
      <c r="AB21" s="96" t="str">
        <f>IF(OR(U12 = 2, U12=5),"", X21)</f>
        <v/>
      </c>
      <c r="AC21" s="96" t="str">
        <f>IF(OR(U12 = 1, U12=4),"", Y21)</f>
        <v/>
      </c>
      <c r="AD21" s="5"/>
      <c r="AE21" s="97" t="str">
        <f>IF(OR(U12 = 3, U12=6),W21, "")</f>
        <v/>
      </c>
      <c r="AF21" s="97" t="str">
        <f>IF(OR(U12 = 2, U12=5),X21, "")</f>
        <v/>
      </c>
      <c r="AG21" s="97" t="str">
        <f>IF(OR(U12 = 1, U12=4),Y21, "")</f>
        <v/>
      </c>
      <c r="AH21" s="103"/>
      <c r="AI21" s="103"/>
      <c r="AJ21" s="103"/>
      <c r="AK21" s="98"/>
      <c r="AL21" s="98"/>
      <c r="AM21" s="72"/>
      <c r="AR21" s="73"/>
      <c r="AS21" s="73"/>
      <c r="AT21" s="73"/>
      <c r="AU21" s="73"/>
      <c r="AV21" s="73"/>
      <c r="AW21" s="73"/>
      <c r="AX21" s="73"/>
      <c r="AY21" s="73"/>
      <c r="AZ21" s="73"/>
      <c r="BA21" s="73"/>
    </row>
    <row r="22" spans="2:53" ht="12.75" customHeight="1" x14ac:dyDescent="0.25">
      <c r="B22" s="78"/>
      <c r="C22" s="80"/>
      <c r="D22" s="99"/>
      <c r="E22" s="99"/>
      <c r="F22" s="100"/>
      <c r="G22" s="101"/>
      <c r="H22" s="80"/>
      <c r="I22" s="99"/>
      <c r="J22" s="99"/>
      <c r="K22" s="100"/>
      <c r="L22" s="101"/>
      <c r="M22" s="80"/>
      <c r="N22" s="80"/>
      <c r="O22" s="80"/>
      <c r="P22" s="80"/>
      <c r="Q22" s="80"/>
      <c r="R22" s="82"/>
      <c r="S22" s="5"/>
      <c r="T22" s="5"/>
      <c r="U22" s="5"/>
      <c r="V22" s="3"/>
      <c r="W22" s="56" t="str">
        <f>IF(Y12=0, "",IF(VLOOKUP(Y12, B43:G126, 3,FALSE) &lt;&gt; "", VLOOKUP(Y12, B43:G126, 3,FALSE),  "--"))</f>
        <v/>
      </c>
      <c r="X22" s="56" t="str">
        <f>IF(Y12=0, "",IF(VLOOKUP(Y12, B43:G126, 4,FALSE) &lt;&gt; "", VLOOKUP(Y12, B43:G126, 4,FALSE),  "--"))</f>
        <v/>
      </c>
      <c r="Y22" s="56" t="str">
        <f>IF(Y12=0, "",IF(VLOOKUP(Y12, B43:G126, 5,FALSE) &lt;&gt; "", VLOOKUP(Y12, B43:G126, 5,FALSE),  "--"))</f>
        <v/>
      </c>
      <c r="Z22" s="56" t="str">
        <f>IF(Y12=0, "",IF(VLOOKUP(Y12, B43:G126, 6,FALSE) &lt;&gt; "", VLOOKUP(Y12, B43:G126,6,FALSE),  "--"))</f>
        <v/>
      </c>
      <c r="AA22" s="96" t="str">
        <f>IF(OR(U12 = 3, U12=6),"", W22)</f>
        <v/>
      </c>
      <c r="AB22" s="96" t="str">
        <f>IF(OR(U12 = 2, U12=5),"", X22)</f>
        <v/>
      </c>
      <c r="AC22" s="96" t="str">
        <f>IF(OR(U12 = 1, U12=4),"", Y22)</f>
        <v/>
      </c>
      <c r="AD22" s="5"/>
      <c r="AE22" s="97" t="str">
        <f>IF(OR(U12 = 3, U12=6),W22, "")</f>
        <v/>
      </c>
      <c r="AF22" s="97" t="str">
        <f>IF(OR(U12 = 2, U12=5),X22, "")</f>
        <v/>
      </c>
      <c r="AG22" s="97" t="str">
        <f>IF(OR(U12 = 1, U12=4),Y22, "")</f>
        <v/>
      </c>
      <c r="AH22" s="103"/>
      <c r="AI22" s="103"/>
      <c r="AJ22" s="103"/>
      <c r="AK22" s="98"/>
      <c r="AL22" s="98"/>
      <c r="AM22" s="72"/>
      <c r="AR22" s="73"/>
      <c r="AS22" s="73"/>
      <c r="AT22" s="73"/>
      <c r="AU22" s="73"/>
      <c r="AV22" s="73"/>
      <c r="AW22" s="73"/>
      <c r="AX22" s="73"/>
      <c r="AY22" s="73"/>
      <c r="AZ22" s="73"/>
      <c r="BA22" s="73"/>
    </row>
    <row r="23" spans="2:53" ht="12.75" customHeight="1" x14ac:dyDescent="0.25">
      <c r="B23" s="78"/>
      <c r="C23" s="80"/>
      <c r="D23" s="99"/>
      <c r="E23" s="99"/>
      <c r="F23" s="100"/>
      <c r="G23" s="101"/>
      <c r="H23" s="80"/>
      <c r="I23" s="99"/>
      <c r="J23" s="99"/>
      <c r="K23" s="100"/>
      <c r="L23" s="101"/>
      <c r="M23" s="80"/>
      <c r="N23" s="80"/>
      <c r="O23" s="80"/>
      <c r="P23" s="80"/>
      <c r="Q23" s="80"/>
      <c r="R23" s="82"/>
      <c r="S23" s="5"/>
      <c r="T23" s="5"/>
      <c r="U23" s="5"/>
      <c r="V23" s="104"/>
      <c r="W23" s="56" t="str">
        <f>IF(AA12=0, "",IF(VLOOKUP(AA12, B43:G126, 3,FALSE) &lt;&gt; "", VLOOKUP(AA12, B43:G126, 3,FALSE),  "--"))</f>
        <v/>
      </c>
      <c r="X23" s="56" t="str">
        <f>IF(AA12=0, "",IF(VLOOKUP(AA12, B43:G126, 4,FALSE) &lt;&gt; "", VLOOKUP(AA12, B43:G126, 4,FALSE),  "--"))</f>
        <v/>
      </c>
      <c r="Y23" s="56" t="str">
        <f>IF(AA12=0, "",IF(VLOOKUP(AA12, B43:G126,5,FALSE) &lt;&gt; "", VLOOKUP(AA12, B43:G126, 5,FALSE),  "--"))</f>
        <v/>
      </c>
      <c r="Z23" s="56" t="str">
        <f>IF(AA12=0, "",IF(VLOOKUP(AA12, B43:G126, 6,FALSE) &lt;&gt; "", VLOOKUP(AA12, B43:G126,6,FALSE),  "--"))</f>
        <v/>
      </c>
      <c r="AA23" s="96" t="str">
        <f>IF(OR(U12 = 3, U12=6),"", W23)</f>
        <v/>
      </c>
      <c r="AB23" s="96" t="str">
        <f>IF(OR(U12 = 2, U12=5),"", X23)</f>
        <v/>
      </c>
      <c r="AC23" s="96" t="str">
        <f>IF(OR(U12 = 1, U12=4),"", Y23)</f>
        <v/>
      </c>
      <c r="AD23" s="5"/>
      <c r="AE23" s="97" t="str">
        <f>IF(OR(U12 = 3, U12=6),W23, "")</f>
        <v/>
      </c>
      <c r="AF23" s="97" t="str">
        <f>IF(OR(U12 = 2, U12=5),X23, "")</f>
        <v/>
      </c>
      <c r="AG23" s="97" t="str">
        <f>IF(OR(U12 = 1, U12=4),Y23, "")</f>
        <v/>
      </c>
      <c r="AH23" s="103"/>
      <c r="AI23" s="103"/>
      <c r="AJ23" s="103"/>
      <c r="AK23" s="98"/>
      <c r="AL23" s="98"/>
      <c r="AM23" s="72"/>
      <c r="AR23" s="73"/>
      <c r="AS23" s="73"/>
      <c r="AT23" s="73"/>
      <c r="AU23" s="73"/>
      <c r="AV23" s="73"/>
      <c r="AW23" s="73"/>
      <c r="AX23" s="73"/>
      <c r="AY23" s="73"/>
      <c r="AZ23" s="73"/>
      <c r="BA23" s="73"/>
    </row>
    <row r="24" spans="2:53" ht="12.75" customHeight="1" x14ac:dyDescent="0.25">
      <c r="B24" s="78"/>
      <c r="C24" s="80"/>
      <c r="D24" s="99"/>
      <c r="E24" s="99"/>
      <c r="F24" s="100"/>
      <c r="G24" s="101"/>
      <c r="H24" s="80"/>
      <c r="I24" s="99"/>
      <c r="J24" s="99"/>
      <c r="K24" s="100"/>
      <c r="L24" s="101"/>
      <c r="M24" s="80"/>
      <c r="N24" s="80"/>
      <c r="O24" s="80"/>
      <c r="P24" s="80"/>
      <c r="Q24" s="80"/>
      <c r="R24" s="82"/>
      <c r="S24" s="5"/>
      <c r="T24" s="5"/>
      <c r="U24" s="2"/>
      <c r="V24" s="104"/>
      <c r="W24" s="56" t="str">
        <f>IF(AC12=0, "",IF(VLOOKUP(AC12, B43:G126, 3,FALSE) &lt;&gt; "", VLOOKUP(AC12, B43:G126, 3,FALSE),  "--"))</f>
        <v/>
      </c>
      <c r="X24" s="56" t="str">
        <f>IF(AC12=0, "",IF(VLOOKUP(AC12, B43:G126, 4,FALSE) &lt;&gt; "", VLOOKUP(AC12, B43:G126, 4,FALSE),  "--"))</f>
        <v/>
      </c>
      <c r="Y24" s="56" t="str">
        <f>IF(AC12=0, "",IF(VLOOKUP(AC12, B43:G126, 5,FALSE) &lt;&gt; "", VLOOKUP(AC12, B43:G126, 5,FALSE),  "--"))</f>
        <v/>
      </c>
      <c r="Z24" s="56" t="str">
        <f>IF(AC12=0, "",IF(VLOOKUP(AC12, B43:G126, 6,FALSE) &lt;&gt; "", VLOOKUP(AC12, B43:G126, 6,FALSE),  "--"))</f>
        <v/>
      </c>
      <c r="AA24" s="96" t="str">
        <f>IF(OR(U12 = 3, U12=6),"", W24)</f>
        <v/>
      </c>
      <c r="AB24" s="96" t="str">
        <f>IF(OR(U12 = 2, U12=5),"", X24)</f>
        <v/>
      </c>
      <c r="AC24" s="96" t="str">
        <f>IF(OR(U12 = 1, U12=4),"", Y24)</f>
        <v/>
      </c>
      <c r="AD24" s="2"/>
      <c r="AE24" s="97" t="str">
        <f>IF(OR(U12 = 3, U12=6),W24, "")</f>
        <v/>
      </c>
      <c r="AF24" s="97" t="str">
        <f>IF(OR(U12 = 2, U12=5),X24, "")</f>
        <v/>
      </c>
      <c r="AG24" s="97" t="str">
        <f>IF(OR(U12 = 1, U12=4),Y24, "")</f>
        <v/>
      </c>
      <c r="AH24" s="103"/>
      <c r="AI24" s="103"/>
      <c r="AJ24" s="103"/>
      <c r="AK24" s="98"/>
      <c r="AL24" s="98"/>
      <c r="AM24" s="72"/>
      <c r="AR24" s="73"/>
      <c r="AS24" s="73"/>
      <c r="AT24" s="73"/>
      <c r="AU24" s="73"/>
      <c r="AV24" s="73"/>
      <c r="AW24" s="73"/>
      <c r="AX24" s="73"/>
      <c r="AY24" s="73"/>
      <c r="AZ24" s="73"/>
      <c r="BA24" s="73"/>
    </row>
    <row r="25" spans="2:53" ht="12.75" customHeight="1" x14ac:dyDescent="0.25">
      <c r="B25" s="78"/>
      <c r="C25" s="80"/>
      <c r="D25" s="99"/>
      <c r="E25" s="99"/>
      <c r="F25" s="100"/>
      <c r="G25" s="101"/>
      <c r="H25" s="80"/>
      <c r="I25" s="99"/>
      <c r="J25" s="99"/>
      <c r="K25" s="100"/>
      <c r="L25" s="101"/>
      <c r="M25" s="80"/>
      <c r="N25" s="80"/>
      <c r="O25" s="80"/>
      <c r="P25" s="80"/>
      <c r="Q25" s="80"/>
      <c r="R25" s="82"/>
      <c r="S25" s="5"/>
      <c r="T25" s="5"/>
      <c r="U25" s="2"/>
      <c r="V25" s="104"/>
      <c r="W25" s="56" t="str">
        <f>IF(AE12=0, "",IF(VLOOKUP(AE12, B43:G126, 3,FALSE) &lt;&gt; "", VLOOKUP(AE12, B43:G126, 3,FALSE),  "--"))</f>
        <v/>
      </c>
      <c r="X25" s="56" t="str">
        <f>IF(AE12=0, "",IF(VLOOKUP(AE12, B43:G126, 4,FALSE) &lt;&gt; "", VLOOKUP(AE12, B43:G126,4,FALSE),  "--"))</f>
        <v/>
      </c>
      <c r="Y25" s="56" t="str">
        <f>IF(AE12=0, "",IF(VLOOKUP(AE12, B43:G126, 5,FALSE) &lt;&gt; "", VLOOKUP(AE12, B43:G126, 5,FALSE),  "--"))</f>
        <v/>
      </c>
      <c r="Z25" s="56" t="str">
        <f>IF(AE12=0, "",IF(VLOOKUP(AE12, B43:G126, 6,FALSE) &lt;&gt; "", VLOOKUP(AE12, B43:G126,6,FALSE),  "--"))</f>
        <v/>
      </c>
      <c r="AA25" s="96" t="str">
        <f>IF(OR(U12 = 3, U12=6),"", W25)</f>
        <v/>
      </c>
      <c r="AB25" s="96" t="str">
        <f>IF(OR(U12 = 2, U12=5),"", X25)</f>
        <v/>
      </c>
      <c r="AC25" s="96" t="str">
        <f>IF(OR(U12 = 1, U12=4),"", Y25)</f>
        <v/>
      </c>
      <c r="AD25" s="2"/>
      <c r="AE25" s="97" t="str">
        <f>IF(OR(U12 = 3, U12=6),W25, "")</f>
        <v/>
      </c>
      <c r="AF25" s="97" t="str">
        <f>IF(OR(U12 = 2, U12=5),X25, "")</f>
        <v/>
      </c>
      <c r="AG25" s="97" t="str">
        <f>IF(OR(U12 = 1, U12=4),Y25, "")</f>
        <v/>
      </c>
      <c r="AH25" s="103"/>
      <c r="AI25" s="103"/>
      <c r="AJ25" s="103"/>
      <c r="AK25" s="98"/>
      <c r="AL25" s="98"/>
      <c r="AM25" s="72"/>
      <c r="AR25" s="73"/>
      <c r="AS25" s="73"/>
      <c r="AT25" s="73"/>
      <c r="AU25" s="73"/>
      <c r="AV25" s="73"/>
      <c r="AW25" s="73"/>
      <c r="AX25" s="73"/>
      <c r="AY25" s="73"/>
      <c r="AZ25" s="73"/>
      <c r="BA25" s="73"/>
    </row>
    <row r="26" spans="2:53" ht="12.75" customHeight="1" x14ac:dyDescent="0.25">
      <c r="B26" s="78"/>
      <c r="C26" s="80"/>
      <c r="D26" s="99"/>
      <c r="E26" s="99"/>
      <c r="F26" s="100"/>
      <c r="G26" s="101"/>
      <c r="H26" s="80"/>
      <c r="I26" s="99"/>
      <c r="J26" s="99"/>
      <c r="K26" s="100"/>
      <c r="L26" s="101"/>
      <c r="M26" s="80"/>
      <c r="N26" s="80"/>
      <c r="O26" s="80"/>
      <c r="P26" s="80"/>
      <c r="Q26" s="80"/>
      <c r="R26" s="82"/>
      <c r="S26" s="5"/>
      <c r="T26" s="5"/>
      <c r="U26" s="2"/>
      <c r="V26" s="59"/>
      <c r="W26" s="105" t="str">
        <f>IF(OR(U11 = 3, U11=6),"","2017")</f>
        <v>2017</v>
      </c>
      <c r="X26" s="105" t="str">
        <f>IF(OR(U11 = 2, U11=5),"", "2018")</f>
        <v>2018</v>
      </c>
      <c r="Y26" s="105" t="str">
        <f>IF(OR(U11 = 1, U11=4), "", "2019")</f>
        <v/>
      </c>
      <c r="Z26" s="105">
        <v>2020</v>
      </c>
      <c r="AA26" s="2"/>
      <c r="AB26" s="2"/>
      <c r="AC26" s="2"/>
      <c r="AD26" s="2"/>
      <c r="AE26" s="5"/>
      <c r="AF26" s="5"/>
      <c r="AG26" s="5"/>
      <c r="AH26" s="5"/>
      <c r="AI26" s="5"/>
      <c r="AJ26" s="5"/>
      <c r="AK26" s="72"/>
      <c r="AM26" s="72"/>
      <c r="AR26" s="73"/>
      <c r="AS26" s="73"/>
      <c r="AT26" s="73"/>
      <c r="AU26" s="73"/>
      <c r="AV26" s="73"/>
      <c r="AW26" s="73"/>
      <c r="AX26" s="73"/>
      <c r="AY26" s="73"/>
      <c r="AZ26" s="73"/>
      <c r="BA26" s="73"/>
    </row>
    <row r="27" spans="2:53" ht="15.75" x14ac:dyDescent="0.25">
      <c r="B27" s="78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2"/>
      <c r="S27" s="5"/>
      <c r="T27" s="5"/>
      <c r="U27" s="2"/>
      <c r="V27" s="104"/>
      <c r="W27" s="106" t="str">
        <f>IF(OR(U11 = 3, U11=6),"2017", "")</f>
        <v/>
      </c>
      <c r="X27" s="106" t="str">
        <f>IF(OR(U11 =2, U11=5),"2018", "")</f>
        <v/>
      </c>
      <c r="Y27" s="106" t="str">
        <f>IF(OR(U11 = 1, U11=4),"2019", "")</f>
        <v>2019</v>
      </c>
      <c r="Z27" s="107"/>
      <c r="AA27" s="2"/>
      <c r="AB27" s="2"/>
      <c r="AC27" s="2"/>
      <c r="AD27" s="2"/>
      <c r="AE27" s="5"/>
      <c r="AF27" s="5"/>
      <c r="AG27" s="5"/>
      <c r="AH27" s="5"/>
      <c r="AI27" s="5"/>
      <c r="AJ27" s="5"/>
      <c r="AK27" s="72"/>
      <c r="AM27" s="72"/>
      <c r="AR27" s="73"/>
      <c r="AS27" s="73"/>
      <c r="AT27" s="73"/>
      <c r="AU27" s="73"/>
      <c r="AV27" s="73"/>
      <c r="AW27" s="73"/>
      <c r="AX27" s="73"/>
      <c r="AY27" s="73"/>
      <c r="AZ27" s="73"/>
      <c r="BA27" s="73"/>
    </row>
    <row r="28" spans="2:53" ht="15.75" x14ac:dyDescent="0.25">
      <c r="B28" s="78"/>
      <c r="C28" s="80"/>
      <c r="D28" s="108"/>
      <c r="E28" s="108"/>
      <c r="F28" s="108"/>
      <c r="G28" s="108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2"/>
      <c r="S28" s="5"/>
      <c r="T28" s="5"/>
      <c r="U28" s="2"/>
      <c r="V28" s="3"/>
      <c r="W28" s="105" t="str">
        <f>IF(OR(U12 = 3, U12=6),"", "2017")</f>
        <v>2017</v>
      </c>
      <c r="X28" s="105" t="str">
        <f>IF(OR(U12 = 2, U12=5),"", "2018")</f>
        <v>2018</v>
      </c>
      <c r="Y28" s="105" t="str">
        <f>IF(OR(U12 = 1, U12=4), "", "2019")</f>
        <v/>
      </c>
      <c r="Z28" s="105">
        <v>2020</v>
      </c>
      <c r="AA28" s="2"/>
      <c r="AB28" s="2"/>
      <c r="AC28" s="2"/>
      <c r="AD28" s="26"/>
      <c r="AE28" s="3"/>
      <c r="AF28" s="3"/>
      <c r="AG28" s="3"/>
      <c r="AH28" s="3"/>
      <c r="AI28" s="3"/>
      <c r="AJ28" s="3"/>
      <c r="AK28" s="72"/>
      <c r="AM28" s="72"/>
      <c r="AR28" s="73"/>
      <c r="AS28" s="73"/>
      <c r="AT28" s="73"/>
      <c r="AU28" s="73"/>
      <c r="AV28" s="73"/>
      <c r="AW28" s="73"/>
      <c r="AX28" s="73"/>
      <c r="AY28" s="73"/>
      <c r="AZ28" s="73"/>
      <c r="BA28" s="73"/>
    </row>
    <row r="29" spans="2:53" ht="13.5" customHeight="1" x14ac:dyDescent="0.25">
      <c r="B29" s="78"/>
      <c r="C29" s="80"/>
      <c r="D29" s="94"/>
      <c r="E29" s="94"/>
      <c r="F29" s="95"/>
      <c r="G29" s="95"/>
      <c r="H29" s="80"/>
      <c r="I29" s="94"/>
      <c r="J29" s="94"/>
      <c r="K29" s="95"/>
      <c r="L29" s="95"/>
      <c r="M29" s="80"/>
      <c r="N29" s="80"/>
      <c r="O29" s="80"/>
      <c r="P29" s="80"/>
      <c r="Q29" s="80"/>
      <c r="R29" s="82"/>
      <c r="S29" s="5"/>
      <c r="T29" s="5"/>
      <c r="U29" s="41"/>
      <c r="V29" s="104"/>
      <c r="W29" s="106" t="str">
        <f>IF(OR(U12 = 3, U12=6),"2017", "")</f>
        <v/>
      </c>
      <c r="X29" s="106" t="str">
        <f>IF(OR(U12 = 2, U12=5),"2018", "")</f>
        <v/>
      </c>
      <c r="Y29" s="106" t="str">
        <f>IF(OR(U12 = 1, U12=4),"2019", "")</f>
        <v>2019</v>
      </c>
      <c r="Z29" s="107"/>
      <c r="AA29" s="41"/>
      <c r="AB29" s="44"/>
      <c r="AC29" s="41"/>
      <c r="AD29" s="44"/>
      <c r="AE29" s="3"/>
      <c r="AF29" s="3"/>
      <c r="AG29" s="3"/>
      <c r="AH29" s="3"/>
      <c r="AI29" s="3"/>
      <c r="AJ29" s="3"/>
      <c r="AK29" s="72"/>
      <c r="AM29" s="72"/>
      <c r="AR29" s="73"/>
      <c r="AS29" s="73"/>
      <c r="AT29" s="73"/>
      <c r="AU29" s="73"/>
      <c r="AV29" s="73"/>
      <c r="AW29" s="73"/>
      <c r="AX29" s="73"/>
      <c r="AY29" s="73"/>
      <c r="AZ29" s="73"/>
      <c r="BA29" s="73"/>
    </row>
    <row r="30" spans="2:53" ht="12.75" customHeight="1" x14ac:dyDescent="0.25">
      <c r="B30" s="78"/>
      <c r="C30" s="80"/>
      <c r="D30" s="99"/>
      <c r="E30" s="99"/>
      <c r="F30" s="100"/>
      <c r="G30" s="101"/>
      <c r="H30" s="80"/>
      <c r="I30" s="99"/>
      <c r="J30" s="99"/>
      <c r="K30" s="100"/>
      <c r="L30" s="101"/>
      <c r="M30" s="80"/>
      <c r="N30" s="80"/>
      <c r="O30" s="80"/>
      <c r="P30" s="80"/>
      <c r="Q30" s="80"/>
      <c r="R30" s="82"/>
      <c r="S30" s="5"/>
      <c r="T30" s="5"/>
      <c r="U30" s="41"/>
      <c r="V30" s="104"/>
      <c r="W30" s="41"/>
      <c r="X30" s="44"/>
      <c r="Y30" s="41"/>
      <c r="Z30" s="44"/>
      <c r="AA30" s="41"/>
      <c r="AB30" s="44"/>
      <c r="AC30" s="41"/>
      <c r="AD30" s="44"/>
      <c r="AE30" s="3"/>
      <c r="AF30" s="3"/>
      <c r="AG30" s="3"/>
      <c r="AH30" s="3"/>
      <c r="AI30" s="3"/>
      <c r="AJ30" s="3"/>
      <c r="AK30" s="72"/>
      <c r="AM30" s="72"/>
      <c r="AR30" s="73"/>
      <c r="AS30" s="73"/>
      <c r="AT30" s="73"/>
      <c r="AU30" s="73"/>
      <c r="AV30" s="73"/>
      <c r="AW30" s="73"/>
      <c r="AX30" s="73"/>
      <c r="AY30" s="73"/>
      <c r="AZ30" s="73"/>
      <c r="BA30" s="73"/>
    </row>
    <row r="31" spans="2:53" ht="12.75" customHeight="1" x14ac:dyDescent="0.25">
      <c r="B31" s="78"/>
      <c r="C31" s="80"/>
      <c r="D31" s="99"/>
      <c r="E31" s="99"/>
      <c r="F31" s="100"/>
      <c r="G31" s="101"/>
      <c r="H31" s="80"/>
      <c r="I31" s="99"/>
      <c r="J31" s="99"/>
      <c r="K31" s="100"/>
      <c r="L31" s="101"/>
      <c r="M31" s="80"/>
      <c r="N31" s="80"/>
      <c r="O31" s="80"/>
      <c r="P31" s="80"/>
      <c r="Q31" s="80"/>
      <c r="R31" s="82"/>
      <c r="S31" s="5"/>
      <c r="T31" s="5"/>
      <c r="U31" s="3">
        <f>CHOOSE(U11, U3,W3,Y3,V3,X3,Z3)</f>
        <v>37</v>
      </c>
      <c r="V31" s="3" t="str">
        <f>CHOOSE(U11,U33,U35,U37,U34, U36,U38)</f>
        <v>items increased since 2019</v>
      </c>
      <c r="W31" s="41"/>
      <c r="X31" s="44"/>
      <c r="Y31" s="41"/>
      <c r="Z31" s="44"/>
      <c r="AA31" s="41"/>
      <c r="AB31" s="44"/>
      <c r="AC31" s="41"/>
      <c r="AD31" s="44"/>
      <c r="AE31" s="3"/>
      <c r="AF31" s="3"/>
      <c r="AG31" s="3"/>
      <c r="AH31" s="3"/>
      <c r="AI31" s="3"/>
      <c r="AJ31" s="3"/>
      <c r="AK31" s="72"/>
      <c r="AM31" s="72"/>
      <c r="AR31" s="73"/>
      <c r="AS31" s="73"/>
      <c r="AT31" s="73"/>
      <c r="AU31" s="73"/>
      <c r="AV31" s="73"/>
      <c r="AW31" s="73"/>
      <c r="AX31" s="73"/>
      <c r="AY31" s="73"/>
      <c r="AZ31" s="73"/>
      <c r="BA31" s="73"/>
    </row>
    <row r="32" spans="2:53" ht="12.75" customHeight="1" x14ac:dyDescent="0.25">
      <c r="B32" s="78"/>
      <c r="C32" s="80"/>
      <c r="D32" s="99"/>
      <c r="E32" s="99"/>
      <c r="F32" s="100"/>
      <c r="G32" s="101"/>
      <c r="H32" s="80"/>
      <c r="I32" s="99"/>
      <c r="J32" s="99"/>
      <c r="K32" s="100"/>
      <c r="L32" s="101"/>
      <c r="M32" s="80"/>
      <c r="N32" s="80"/>
      <c r="O32" s="80"/>
      <c r="P32" s="80"/>
      <c r="Q32" s="80"/>
      <c r="R32" s="82"/>
      <c r="S32" s="5"/>
      <c r="T32" s="5"/>
      <c r="U32" s="26">
        <f>CHOOSE(U12,U3,W3,Y3,V3, X3,Z3)</f>
        <v>0</v>
      </c>
      <c r="V32" s="3" t="str">
        <f>CHOOSE(U12,U33,U35,U37,U34, U36,U38)</f>
        <v>items decreased since 2019</v>
      </c>
      <c r="W32" s="41"/>
      <c r="X32" s="44"/>
      <c r="Y32" s="41"/>
      <c r="Z32" s="44"/>
      <c r="AA32" s="41"/>
      <c r="AB32" s="44"/>
      <c r="AC32" s="41"/>
      <c r="AD32" s="44"/>
      <c r="AE32" s="3"/>
      <c r="AF32" s="3"/>
      <c r="AG32" s="3"/>
      <c r="AH32" s="3"/>
      <c r="AI32" s="3"/>
      <c r="AJ32" s="3"/>
      <c r="AK32" s="72"/>
      <c r="AM32" s="72"/>
      <c r="AR32" s="73"/>
      <c r="AS32" s="73"/>
      <c r="AT32" s="73"/>
      <c r="AU32" s="73"/>
      <c r="AV32" s="73"/>
      <c r="AW32" s="73"/>
      <c r="AX32" s="73"/>
      <c r="AY32" s="73"/>
      <c r="AZ32" s="73"/>
      <c r="BA32" s="73"/>
    </row>
    <row r="33" spans="1:75" ht="12.75" customHeight="1" x14ac:dyDescent="0.25">
      <c r="B33" s="78"/>
      <c r="C33" s="80"/>
      <c r="D33" s="99"/>
      <c r="E33" s="99"/>
      <c r="F33" s="100"/>
      <c r="G33" s="101"/>
      <c r="H33" s="80"/>
      <c r="I33" s="99"/>
      <c r="J33" s="99"/>
      <c r="K33" s="100"/>
      <c r="L33" s="101"/>
      <c r="M33" s="80"/>
      <c r="N33" s="80"/>
      <c r="O33" s="80"/>
      <c r="P33" s="80"/>
      <c r="Q33" s="80"/>
      <c r="R33" s="82"/>
      <c r="S33" s="72"/>
      <c r="T33" s="72"/>
      <c r="U33" s="109" t="str">
        <f>IF(U3=1, "item increased since 2019", "items increased since 2019")</f>
        <v>items increased since 2019</v>
      </c>
      <c r="V33" s="2" t="s">
        <v>106</v>
      </c>
      <c r="W33" s="2" t="s">
        <v>107</v>
      </c>
      <c r="X33" s="110"/>
      <c r="Y33" s="111"/>
      <c r="Z33" s="110"/>
      <c r="AA33" s="111"/>
      <c r="AB33" s="110"/>
      <c r="AC33" s="111"/>
      <c r="AD33" s="110"/>
      <c r="AE33" s="72"/>
      <c r="AF33" s="72"/>
      <c r="AG33" s="72"/>
      <c r="AH33" s="72"/>
      <c r="AI33" s="72"/>
      <c r="AJ33" s="72"/>
      <c r="AK33" s="72"/>
      <c r="AM33" s="72"/>
      <c r="AR33" s="73"/>
      <c r="AS33" s="73"/>
      <c r="AT33" s="73"/>
      <c r="AU33" s="73"/>
      <c r="AV33" s="73"/>
      <c r="AW33" s="73"/>
      <c r="AX33" s="73"/>
      <c r="AY33" s="73"/>
      <c r="AZ33" s="73"/>
      <c r="BA33" s="73"/>
    </row>
    <row r="34" spans="1:75" ht="12.75" customHeight="1" x14ac:dyDescent="0.25">
      <c r="B34" s="78"/>
      <c r="C34" s="80"/>
      <c r="D34" s="206">
        <f>U32</f>
        <v>0</v>
      </c>
      <c r="E34" s="99"/>
      <c r="F34" s="100"/>
      <c r="G34" s="101"/>
      <c r="H34" s="80"/>
      <c r="I34" s="99"/>
      <c r="J34" s="99"/>
      <c r="K34" s="100"/>
      <c r="L34" s="101"/>
      <c r="M34" s="80"/>
      <c r="N34" s="80"/>
      <c r="O34" s="80"/>
      <c r="P34" s="80"/>
      <c r="Q34" s="80"/>
      <c r="R34" s="82"/>
      <c r="S34" s="72"/>
      <c r="T34" s="72"/>
      <c r="U34" s="109" t="str">
        <f>IF(V3=1, "item decreased since 2019", "items decreased since 2019")</f>
        <v>items decreased since 2019</v>
      </c>
      <c r="V34" s="2" t="s">
        <v>90</v>
      </c>
      <c r="W34" s="2" t="s">
        <v>91</v>
      </c>
      <c r="X34" s="111"/>
      <c r="Y34" s="111"/>
      <c r="Z34" s="111"/>
      <c r="AA34" s="111"/>
      <c r="AB34" s="111"/>
      <c r="AC34" s="111"/>
      <c r="AD34" s="111"/>
      <c r="AE34" s="72"/>
      <c r="AF34" s="72"/>
      <c r="AG34" s="72"/>
      <c r="AH34" s="72"/>
      <c r="AI34" s="72"/>
      <c r="AJ34" s="72"/>
      <c r="AK34" s="72"/>
      <c r="AM34" s="72"/>
      <c r="AR34" s="73"/>
      <c r="AS34" s="73"/>
      <c r="AT34" s="73"/>
      <c r="AU34" s="73"/>
      <c r="AV34" s="73"/>
      <c r="AW34" s="73"/>
      <c r="AX34" s="73"/>
      <c r="AY34" s="73"/>
      <c r="AZ34" s="73"/>
      <c r="BA34" s="73"/>
    </row>
    <row r="35" spans="1:75" ht="12.75" customHeight="1" x14ac:dyDescent="0.25">
      <c r="B35" s="78"/>
      <c r="C35" s="80"/>
      <c r="D35" s="206"/>
      <c r="E35" s="99"/>
      <c r="F35" s="100"/>
      <c r="G35" s="101"/>
      <c r="H35" s="80"/>
      <c r="I35" s="99"/>
      <c r="J35" s="99"/>
      <c r="K35" s="100"/>
      <c r="L35" s="101"/>
      <c r="M35" s="80"/>
      <c r="N35" s="80"/>
      <c r="O35" s="80"/>
      <c r="P35" s="80"/>
      <c r="Q35" s="80"/>
      <c r="R35" s="82"/>
      <c r="S35" s="72"/>
      <c r="T35" s="72"/>
      <c r="U35" s="109" t="str">
        <f>IF(W3=1, "item increased since 2018", "items increased since 2018")</f>
        <v>items increased since 2018</v>
      </c>
      <c r="V35" s="26" t="s">
        <v>92</v>
      </c>
      <c r="W35" s="26" t="s">
        <v>93</v>
      </c>
      <c r="X35" s="113"/>
      <c r="Y35" s="114"/>
      <c r="Z35" s="113"/>
      <c r="AA35" s="114"/>
      <c r="AB35" s="113"/>
      <c r="AC35" s="114"/>
      <c r="AD35" s="113"/>
      <c r="AE35" s="72"/>
      <c r="AF35" s="72"/>
      <c r="AG35" s="72"/>
      <c r="AH35" s="72"/>
      <c r="AI35" s="72"/>
      <c r="AJ35" s="72"/>
      <c r="AK35" s="72"/>
      <c r="AM35" s="72"/>
      <c r="AR35" s="73"/>
      <c r="AS35" s="73"/>
      <c r="AT35" s="73"/>
      <c r="AU35" s="73"/>
      <c r="AV35" s="73"/>
      <c r="AW35" s="73"/>
      <c r="AX35" s="73"/>
      <c r="AY35" s="73"/>
      <c r="AZ35" s="73"/>
      <c r="BA35" s="73"/>
    </row>
    <row r="36" spans="1:75" ht="12.75" customHeight="1" x14ac:dyDescent="0.25">
      <c r="B36" s="78"/>
      <c r="C36" s="80"/>
      <c r="D36" s="206"/>
      <c r="E36" s="99"/>
      <c r="F36" s="100"/>
      <c r="G36" s="101"/>
      <c r="H36" s="80"/>
      <c r="I36" s="99"/>
      <c r="J36" s="99"/>
      <c r="K36" s="100"/>
      <c r="L36" s="101"/>
      <c r="M36" s="80"/>
      <c r="N36" s="80"/>
      <c r="O36" s="80"/>
      <c r="P36" s="80"/>
      <c r="Q36" s="80"/>
      <c r="R36" s="82"/>
      <c r="S36" s="72"/>
      <c r="T36" s="72"/>
      <c r="U36" s="109" t="str">
        <f>IF(X3 = 1, "item decreased since 2018", "items decreased since 2018")</f>
        <v>items decreased since 2018</v>
      </c>
      <c r="V36" s="26" t="s">
        <v>108</v>
      </c>
      <c r="W36" s="26" t="s">
        <v>109</v>
      </c>
      <c r="X36" s="113"/>
      <c r="Y36" s="114"/>
      <c r="Z36" s="113"/>
      <c r="AA36" s="114"/>
      <c r="AB36" s="113"/>
      <c r="AC36" s="114"/>
      <c r="AD36" s="113"/>
      <c r="AE36" s="72"/>
      <c r="AF36" s="72"/>
      <c r="AG36" s="72"/>
      <c r="AH36" s="72"/>
      <c r="AI36" s="72"/>
      <c r="AJ36" s="72"/>
      <c r="AK36" s="72"/>
      <c r="AM36" s="72"/>
      <c r="AR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2"/>
      <c r="BK36" s="72"/>
      <c r="BL36" s="72"/>
      <c r="BM36" s="112"/>
      <c r="BN36" s="112"/>
      <c r="BO36" s="112"/>
      <c r="BP36" s="112"/>
      <c r="BQ36" s="112"/>
      <c r="BR36" s="112"/>
    </row>
    <row r="37" spans="1:75" ht="12.75" customHeight="1" x14ac:dyDescent="0.25">
      <c r="B37" s="78"/>
      <c r="C37" s="80"/>
      <c r="D37" s="206"/>
      <c r="E37" s="99"/>
      <c r="F37" s="100"/>
      <c r="G37" s="101"/>
      <c r="H37" s="80"/>
      <c r="I37" s="99"/>
      <c r="J37" s="99"/>
      <c r="K37" s="100"/>
      <c r="L37" s="101"/>
      <c r="M37" s="80"/>
      <c r="N37" s="80"/>
      <c r="O37" s="80"/>
      <c r="P37" s="80"/>
      <c r="Q37" s="80"/>
      <c r="R37" s="82"/>
      <c r="S37" s="72"/>
      <c r="T37" s="72"/>
      <c r="U37" s="109" t="str">
        <f>IF(Y3 = 1, "item increased since 2017", "items increased since 2017")</f>
        <v>items increased since 2017</v>
      </c>
      <c r="V37" s="2" t="s">
        <v>94</v>
      </c>
      <c r="W37" s="2" t="s">
        <v>95</v>
      </c>
      <c r="X37" s="72"/>
      <c r="Y37" s="72"/>
      <c r="Z37" s="72"/>
      <c r="AC37" s="72"/>
      <c r="AD37" s="72"/>
      <c r="AE37" s="72"/>
      <c r="AF37" s="72"/>
      <c r="AG37" s="72"/>
      <c r="AH37" s="72"/>
      <c r="AI37" s="72"/>
      <c r="AJ37" s="72"/>
      <c r="AK37" s="72"/>
      <c r="AM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2"/>
      <c r="BK37" s="72"/>
      <c r="BL37" s="72"/>
      <c r="BM37" s="112"/>
      <c r="BN37" s="112"/>
      <c r="BO37" s="112"/>
      <c r="BP37" s="112"/>
      <c r="BQ37" s="112"/>
      <c r="BR37" s="112"/>
    </row>
    <row r="38" spans="1:75" ht="12.75" customHeight="1" x14ac:dyDescent="0.25">
      <c r="B38" s="78"/>
      <c r="C38" s="80"/>
      <c r="D38" s="99"/>
      <c r="E38" s="99"/>
      <c r="F38" s="100"/>
      <c r="G38" s="101"/>
      <c r="H38" s="80"/>
      <c r="I38" s="99"/>
      <c r="J38" s="99"/>
      <c r="K38" s="100"/>
      <c r="L38" s="101"/>
      <c r="M38" s="80"/>
      <c r="N38" s="80"/>
      <c r="O38" s="80"/>
      <c r="P38" s="80"/>
      <c r="Q38" s="80"/>
      <c r="R38" s="82"/>
      <c r="S38" s="72"/>
      <c r="T38" s="72"/>
      <c r="U38" s="109" t="str">
        <f>IF(Z3 = 1, "item decreased since 2017", "items decreased since 2017")</f>
        <v>items decreased since 2017</v>
      </c>
      <c r="V38" s="2" t="s">
        <v>96</v>
      </c>
      <c r="W38" s="2" t="s">
        <v>97</v>
      </c>
      <c r="X38" s="72"/>
      <c r="Y38" s="72"/>
      <c r="Z38" s="72"/>
      <c r="AC38" s="72"/>
      <c r="AD38" s="72"/>
      <c r="AE38" s="72"/>
      <c r="AF38" s="72"/>
      <c r="AG38" s="72"/>
      <c r="AH38" s="72"/>
      <c r="AI38" s="72"/>
      <c r="AJ38" s="72"/>
      <c r="AK38" s="72"/>
      <c r="AM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2"/>
      <c r="BK38" s="72"/>
      <c r="BL38" s="72"/>
      <c r="BM38" s="112"/>
      <c r="BN38" s="112"/>
      <c r="BO38" s="112"/>
      <c r="BP38" s="112"/>
      <c r="BQ38" s="112"/>
      <c r="BR38" s="112"/>
    </row>
    <row r="39" spans="1:75" ht="12.75" customHeight="1" x14ac:dyDescent="0.25">
      <c r="A39" s="115"/>
      <c r="B39" s="78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2"/>
      <c r="S39" s="116"/>
      <c r="T39" s="72"/>
      <c r="V39" s="104"/>
      <c r="W39" s="72"/>
      <c r="X39" s="72"/>
      <c r="Y39" s="72"/>
      <c r="Z39" s="72"/>
      <c r="AC39" s="72"/>
      <c r="AD39" s="72"/>
      <c r="AE39" s="72"/>
      <c r="AF39" s="72"/>
      <c r="AG39" s="72"/>
      <c r="AH39" s="72"/>
      <c r="AI39" s="72"/>
      <c r="AJ39" s="72"/>
      <c r="AK39" s="72"/>
      <c r="AM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2"/>
      <c r="BK39" s="72"/>
      <c r="BL39" s="72"/>
      <c r="BM39" s="112"/>
      <c r="BN39" s="112"/>
      <c r="BO39" s="112"/>
      <c r="BP39" s="112"/>
      <c r="BQ39" s="112"/>
      <c r="BR39" s="112"/>
    </row>
    <row r="40" spans="1:75" ht="14.25" customHeight="1" x14ac:dyDescent="0.25">
      <c r="A40" s="115"/>
      <c r="B40" s="117"/>
      <c r="C40" s="118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118"/>
      <c r="O40" s="118"/>
      <c r="P40" s="118"/>
      <c r="Q40" s="118"/>
      <c r="R40" s="119"/>
      <c r="S40" s="116"/>
      <c r="T40" s="72"/>
      <c r="V40" s="104"/>
      <c r="W40" s="72"/>
      <c r="X40" s="72"/>
      <c r="Y40" s="72"/>
      <c r="Z40" s="72"/>
      <c r="AC40" s="72"/>
      <c r="AD40" s="72"/>
      <c r="AE40" s="72"/>
      <c r="AF40" s="72"/>
      <c r="AG40" s="72"/>
      <c r="AH40" s="72"/>
      <c r="AI40" s="72"/>
      <c r="AJ40" s="72"/>
      <c r="AK40" s="72"/>
      <c r="AM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2"/>
      <c r="BK40" s="72"/>
      <c r="BL40" s="72"/>
      <c r="BM40" s="112"/>
      <c r="BN40" s="112"/>
      <c r="BO40" s="112"/>
      <c r="BP40" s="112"/>
      <c r="BQ40" s="112"/>
      <c r="BR40" s="112"/>
    </row>
    <row r="41" spans="1:75" ht="12.75" customHeight="1" x14ac:dyDescent="0.25">
      <c r="A41" s="116"/>
      <c r="B41" s="116"/>
      <c r="C41" s="116"/>
      <c r="D41" s="72"/>
      <c r="E41" s="72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72"/>
      <c r="V41" s="104"/>
      <c r="W41" s="72"/>
      <c r="X41" s="72"/>
      <c r="Y41" s="72"/>
      <c r="Z41" s="72"/>
      <c r="AC41" s="72"/>
      <c r="AD41" s="72"/>
      <c r="AE41" s="72"/>
      <c r="AF41" s="72"/>
      <c r="AG41" s="72"/>
      <c r="AH41" s="72"/>
      <c r="AI41" s="72"/>
      <c r="AJ41" s="72"/>
      <c r="AK41" s="72"/>
      <c r="AM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5" ht="12.75" customHeight="1" x14ac:dyDescent="0.25">
      <c r="A42" s="72"/>
      <c r="B42" s="125" t="s">
        <v>14</v>
      </c>
      <c r="C42" s="125" t="s">
        <v>15</v>
      </c>
      <c r="D42" s="125" t="s">
        <v>98</v>
      </c>
      <c r="E42" s="125" t="s">
        <v>99</v>
      </c>
      <c r="F42" s="125" t="s">
        <v>101</v>
      </c>
      <c r="G42" s="125" t="s">
        <v>105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V42" s="104"/>
      <c r="W42" s="72"/>
      <c r="X42" s="72"/>
      <c r="Y42" s="72"/>
      <c r="Z42" s="72"/>
      <c r="AC42" s="72"/>
      <c r="AD42" s="72"/>
      <c r="AE42" s="72"/>
      <c r="AF42" s="72"/>
      <c r="AG42" s="72"/>
      <c r="AH42" s="72"/>
      <c r="AI42" s="72"/>
      <c r="AJ42" s="72"/>
      <c r="AK42" s="72"/>
      <c r="AM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</row>
    <row r="43" spans="1:75" ht="12.75" customHeight="1" x14ac:dyDescent="0.25">
      <c r="A43" s="72"/>
      <c r="B43" s="51">
        <v>1</v>
      </c>
      <c r="C43" s="52" t="s">
        <v>16</v>
      </c>
      <c r="D43" s="120">
        <v>0.62</v>
      </c>
      <c r="E43" s="120">
        <v>0.63</v>
      </c>
      <c r="F43" s="120">
        <v>0.64</v>
      </c>
      <c r="G43" s="120">
        <v>0.71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V43" s="104"/>
      <c r="W43" s="72"/>
      <c r="X43" s="72"/>
      <c r="Y43" s="72"/>
      <c r="Z43" s="72"/>
      <c r="AC43" s="72"/>
      <c r="AD43" s="72"/>
      <c r="AE43" s="72"/>
      <c r="AF43" s="72"/>
      <c r="AG43" s="72"/>
      <c r="AH43" s="72"/>
      <c r="AI43" s="72"/>
      <c r="AJ43" s="72"/>
      <c r="AK43" s="72"/>
      <c r="AM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</row>
    <row r="44" spans="1:75" ht="15" x14ac:dyDescent="0.25">
      <c r="A44" s="72"/>
      <c r="B44" s="51">
        <v>2</v>
      </c>
      <c r="C44" s="52" t="s">
        <v>18</v>
      </c>
      <c r="D44" s="120">
        <v>0.57999999999999996</v>
      </c>
      <c r="E44" s="120">
        <v>0.56999999999999995</v>
      </c>
      <c r="F44" s="120">
        <v>0.59</v>
      </c>
      <c r="G44" s="120">
        <v>0.67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V44" s="104"/>
      <c r="W44" s="72"/>
      <c r="X44" s="72"/>
      <c r="Y44" s="72"/>
      <c r="Z44" s="72"/>
      <c r="AC44" s="72"/>
      <c r="AD44" s="72"/>
      <c r="AE44" s="72"/>
      <c r="AF44" s="72"/>
      <c r="AG44" s="72"/>
      <c r="AH44" s="72"/>
      <c r="AI44" s="72"/>
      <c r="AJ44" s="72"/>
      <c r="AK44" s="72"/>
      <c r="AM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</row>
    <row r="45" spans="1:75" ht="15" x14ac:dyDescent="0.25">
      <c r="A45" s="72"/>
      <c r="B45" s="51">
        <v>3</v>
      </c>
      <c r="C45" s="52" t="s">
        <v>20</v>
      </c>
      <c r="D45" s="120">
        <v>0.71</v>
      </c>
      <c r="E45" s="120">
        <v>0.71</v>
      </c>
      <c r="F45" s="120">
        <v>0.72</v>
      </c>
      <c r="G45" s="120">
        <v>0.76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104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M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</row>
    <row r="46" spans="1:75" ht="15" x14ac:dyDescent="0.25">
      <c r="A46" s="72"/>
      <c r="B46" s="51">
        <v>4</v>
      </c>
      <c r="C46" s="52" t="s">
        <v>24</v>
      </c>
      <c r="D46" s="120">
        <v>0.82</v>
      </c>
      <c r="E46" s="120">
        <v>0.82</v>
      </c>
      <c r="F46" s="120">
        <v>0.83</v>
      </c>
      <c r="G46" s="120">
        <v>0.86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104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M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</row>
    <row r="47" spans="1:75" ht="15" x14ac:dyDescent="0.25">
      <c r="A47" s="72"/>
      <c r="B47" s="51">
        <v>5</v>
      </c>
      <c r="C47" s="52" t="s">
        <v>33</v>
      </c>
      <c r="D47" s="120">
        <v>0.6</v>
      </c>
      <c r="E47" s="120">
        <v>0.57999999999999996</v>
      </c>
      <c r="F47" s="120">
        <v>0.6</v>
      </c>
      <c r="G47" s="120">
        <v>0.67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104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M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</row>
    <row r="48" spans="1:75" ht="15" x14ac:dyDescent="0.25">
      <c r="A48" s="72"/>
      <c r="B48" s="51">
        <v>6</v>
      </c>
      <c r="C48" s="52" t="s">
        <v>36</v>
      </c>
      <c r="D48" s="120">
        <v>0.57999999999999996</v>
      </c>
      <c r="E48" s="120">
        <v>0.57999999999999996</v>
      </c>
      <c r="F48" s="120">
        <v>0.59</v>
      </c>
      <c r="G48" s="120">
        <v>0.67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104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M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</row>
    <row r="49" spans="1:75" ht="15" x14ac:dyDescent="0.25">
      <c r="A49" s="72"/>
      <c r="B49" s="51">
        <v>7</v>
      </c>
      <c r="C49" s="52" t="s">
        <v>38</v>
      </c>
      <c r="D49" s="120">
        <v>0.82</v>
      </c>
      <c r="E49" s="120">
        <v>0.83</v>
      </c>
      <c r="F49" s="120">
        <v>0.84</v>
      </c>
      <c r="G49" s="120">
        <v>0.88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104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M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</row>
    <row r="50" spans="1:75" ht="15" x14ac:dyDescent="0.25">
      <c r="A50" s="72"/>
      <c r="B50" s="51">
        <v>8</v>
      </c>
      <c r="C50" s="52" t="s">
        <v>40</v>
      </c>
      <c r="D50" s="120">
        <v>0.68</v>
      </c>
      <c r="E50" s="120">
        <v>0.68</v>
      </c>
      <c r="F50" s="120">
        <v>0.69</v>
      </c>
      <c r="G50" s="120">
        <v>0.72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104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M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</row>
    <row r="51" spans="1:75" ht="15" x14ac:dyDescent="0.25">
      <c r="A51" s="72"/>
      <c r="B51" s="51">
        <v>9</v>
      </c>
      <c r="C51" s="52" t="s">
        <v>41</v>
      </c>
      <c r="D51" s="120">
        <v>0.78</v>
      </c>
      <c r="E51" s="120">
        <v>0.79</v>
      </c>
      <c r="F51" s="120">
        <v>0.79</v>
      </c>
      <c r="G51" s="120">
        <v>0.86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104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M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</row>
    <row r="52" spans="1:75" ht="15" x14ac:dyDescent="0.25">
      <c r="A52" s="72"/>
      <c r="B52" s="51">
        <v>10</v>
      </c>
      <c r="C52" s="52" t="s">
        <v>42</v>
      </c>
      <c r="D52" s="120">
        <v>0.36</v>
      </c>
      <c r="E52" s="120">
        <v>0.36</v>
      </c>
      <c r="F52" s="120">
        <v>0.37</v>
      </c>
      <c r="G52" s="120">
        <v>0.47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104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M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5" x14ac:dyDescent="0.25">
      <c r="A53" s="72"/>
      <c r="B53" s="51">
        <v>12</v>
      </c>
      <c r="C53" s="52" t="s">
        <v>43</v>
      </c>
      <c r="D53" s="120">
        <v>0.39</v>
      </c>
      <c r="E53" s="120">
        <v>0.38</v>
      </c>
      <c r="F53" s="120">
        <v>0.41</v>
      </c>
      <c r="G53" s="120">
        <v>0.54</v>
      </c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104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M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</row>
    <row r="54" spans="1:75" ht="15" x14ac:dyDescent="0.25">
      <c r="A54" s="72"/>
      <c r="B54" s="51">
        <v>13</v>
      </c>
      <c r="C54" s="52" t="s">
        <v>44</v>
      </c>
      <c r="D54" s="120">
        <v>0.67</v>
      </c>
      <c r="E54" s="120">
        <v>0.8</v>
      </c>
      <c r="F54" s="120">
        <v>0.8</v>
      </c>
      <c r="G54" s="120">
        <v>0.82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104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M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</row>
    <row r="55" spans="1:75" ht="15" x14ac:dyDescent="0.25">
      <c r="A55" s="72"/>
      <c r="B55" s="51">
        <v>14</v>
      </c>
      <c r="C55" s="52" t="s">
        <v>45</v>
      </c>
      <c r="D55" s="120">
        <v>0.51</v>
      </c>
      <c r="E55" s="120">
        <v>0.52</v>
      </c>
      <c r="F55" s="120">
        <v>0.54</v>
      </c>
      <c r="G55" s="120">
        <v>0.66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104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M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</row>
    <row r="56" spans="1:75" ht="15" x14ac:dyDescent="0.25">
      <c r="A56" s="72"/>
      <c r="B56" s="51">
        <v>15</v>
      </c>
      <c r="C56" s="52" t="s">
        <v>46</v>
      </c>
      <c r="D56" s="120">
        <v>0.75</v>
      </c>
      <c r="E56" s="120">
        <v>0.74</v>
      </c>
      <c r="F56" s="120">
        <v>0.74</v>
      </c>
      <c r="G56" s="120">
        <v>0.77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104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M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</row>
    <row r="57" spans="1:75" ht="15" x14ac:dyDescent="0.25">
      <c r="A57" s="72"/>
      <c r="B57" s="51">
        <v>16</v>
      </c>
      <c r="C57" s="52" t="s">
        <v>47</v>
      </c>
      <c r="D57" s="120">
        <v>0.72</v>
      </c>
      <c r="E57" s="120">
        <v>0.72</v>
      </c>
      <c r="F57" s="120">
        <v>0.73</v>
      </c>
      <c r="G57" s="120">
        <v>0.79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104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M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</row>
    <row r="58" spans="1:75" ht="15" x14ac:dyDescent="0.25">
      <c r="A58" s="72"/>
      <c r="B58" s="51">
        <v>17</v>
      </c>
      <c r="C58" s="52" t="s">
        <v>48</v>
      </c>
      <c r="D58" s="120">
        <v>0.65</v>
      </c>
      <c r="E58" s="120">
        <v>0.64</v>
      </c>
      <c r="F58" s="120">
        <v>0.67</v>
      </c>
      <c r="G58" s="120">
        <v>0.74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104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M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</row>
    <row r="59" spans="1:75" ht="15" x14ac:dyDescent="0.25">
      <c r="A59" s="72"/>
      <c r="B59" s="51">
        <v>18</v>
      </c>
      <c r="C59" s="52" t="s">
        <v>49</v>
      </c>
      <c r="D59" s="120">
        <v>0.39</v>
      </c>
      <c r="E59" s="120">
        <v>0.39</v>
      </c>
      <c r="F59" s="120">
        <v>0.41</v>
      </c>
      <c r="G59" s="120">
        <v>0.47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104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M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</row>
    <row r="60" spans="1:75" ht="15" x14ac:dyDescent="0.25">
      <c r="A60" s="72"/>
      <c r="B60" s="51">
        <v>19</v>
      </c>
      <c r="C60" s="52" t="s">
        <v>50</v>
      </c>
      <c r="D60" s="120">
        <v>0.85</v>
      </c>
      <c r="E60" s="120">
        <v>0.85</v>
      </c>
      <c r="F60" s="120">
        <v>0.85</v>
      </c>
      <c r="G60" s="120">
        <v>0.88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V60" s="104"/>
      <c r="AM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</row>
    <row r="61" spans="1:75" ht="15" x14ac:dyDescent="0.25">
      <c r="A61" s="72"/>
      <c r="B61" s="51">
        <v>20</v>
      </c>
      <c r="C61" s="52" t="s">
        <v>51</v>
      </c>
      <c r="D61" s="120">
        <v>0.75</v>
      </c>
      <c r="E61" s="120">
        <v>0.75</v>
      </c>
      <c r="F61" s="120">
        <v>0.76</v>
      </c>
      <c r="G61" s="120">
        <v>0.83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V61" s="104"/>
      <c r="AM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</row>
    <row r="62" spans="1:75" ht="15" x14ac:dyDescent="0.25">
      <c r="A62" s="72"/>
      <c r="B62" s="51">
        <v>21</v>
      </c>
      <c r="C62" s="52" t="s">
        <v>52</v>
      </c>
      <c r="D62" s="120">
        <v>0.73</v>
      </c>
      <c r="E62" s="120">
        <v>0.73</v>
      </c>
      <c r="F62" s="120">
        <v>0.74</v>
      </c>
      <c r="G62" s="120">
        <v>0.81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V62" s="104"/>
      <c r="AM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</row>
    <row r="63" spans="1:75" ht="15" x14ac:dyDescent="0.25">
      <c r="A63" s="72"/>
      <c r="B63" s="51">
        <v>22</v>
      </c>
      <c r="C63" s="52" t="s">
        <v>53</v>
      </c>
      <c r="D63" s="120">
        <v>0.81</v>
      </c>
      <c r="E63" s="120">
        <v>0.81</v>
      </c>
      <c r="F63" s="120">
        <v>0.82</v>
      </c>
      <c r="G63" s="120">
        <v>0.85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V63" s="104"/>
      <c r="AM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</row>
    <row r="64" spans="1:75" ht="15" x14ac:dyDescent="0.25">
      <c r="A64" s="72"/>
      <c r="B64" s="51">
        <v>23</v>
      </c>
      <c r="C64" s="52" t="s">
        <v>54</v>
      </c>
      <c r="D64" s="120">
        <v>0.85</v>
      </c>
      <c r="E64" s="120">
        <v>0.85</v>
      </c>
      <c r="F64" s="120">
        <v>0.86</v>
      </c>
      <c r="G64" s="120">
        <v>0.88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V64" s="104"/>
      <c r="AM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</row>
    <row r="65" spans="1:75" ht="15" x14ac:dyDescent="0.25">
      <c r="A65" s="72"/>
      <c r="B65" s="51">
        <v>24</v>
      </c>
      <c r="C65" s="52" t="s">
        <v>55</v>
      </c>
      <c r="D65" s="120">
        <v>0.74</v>
      </c>
      <c r="E65" s="120">
        <v>0.74</v>
      </c>
      <c r="F65" s="120">
        <v>0.75</v>
      </c>
      <c r="G65" s="120">
        <v>0.79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V65" s="104"/>
      <c r="AM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</row>
    <row r="66" spans="1:75" ht="15" x14ac:dyDescent="0.25">
      <c r="A66" s="72"/>
      <c r="B66" s="51">
        <v>25</v>
      </c>
      <c r="C66" s="52" t="s">
        <v>56</v>
      </c>
      <c r="D66" s="120">
        <v>0.78</v>
      </c>
      <c r="E66" s="120">
        <v>0.78</v>
      </c>
      <c r="F66" s="120">
        <v>0.79</v>
      </c>
      <c r="G66" s="120">
        <v>0.82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V66" s="104"/>
      <c r="AM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</row>
    <row r="67" spans="1:75" ht="15" x14ac:dyDescent="0.25">
      <c r="A67" s="72"/>
      <c r="B67" s="51">
        <v>26</v>
      </c>
      <c r="C67" s="52" t="s">
        <v>57</v>
      </c>
      <c r="D67" s="120">
        <v>0.42</v>
      </c>
      <c r="E67" s="120">
        <v>0.42</v>
      </c>
      <c r="F67" s="120">
        <v>0.44</v>
      </c>
      <c r="G67" s="120">
        <v>0.54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V67" s="104"/>
      <c r="AM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</row>
    <row r="68" spans="1:75" ht="15" x14ac:dyDescent="0.25">
      <c r="A68" s="72"/>
      <c r="B68" s="51">
        <v>27</v>
      </c>
      <c r="C68" s="52" t="s">
        <v>58</v>
      </c>
      <c r="D68" s="120">
        <v>0.52</v>
      </c>
      <c r="E68" s="120">
        <v>0.52</v>
      </c>
      <c r="F68" s="120">
        <v>0.53</v>
      </c>
      <c r="G68" s="120">
        <v>0.63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AM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</row>
    <row r="69" spans="1:75" ht="15" x14ac:dyDescent="0.25">
      <c r="A69" s="72"/>
      <c r="B69" s="51">
        <v>28</v>
      </c>
      <c r="C69" s="52" t="s">
        <v>59</v>
      </c>
      <c r="D69" s="120">
        <v>0.69</v>
      </c>
      <c r="E69" s="120">
        <v>0.7</v>
      </c>
      <c r="F69" s="120">
        <v>0.71</v>
      </c>
      <c r="G69" s="120">
        <v>0.75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AM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</row>
    <row r="70" spans="1:75" ht="15" x14ac:dyDescent="0.25">
      <c r="A70" s="72"/>
      <c r="B70" s="51">
        <v>29</v>
      </c>
      <c r="C70" s="52" t="s">
        <v>100</v>
      </c>
      <c r="D70" s="120">
        <v>0.59</v>
      </c>
      <c r="E70" s="120">
        <v>0.59</v>
      </c>
      <c r="F70" s="120">
        <v>0.6</v>
      </c>
      <c r="G70" s="120">
        <v>0.65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AM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</row>
    <row r="71" spans="1:75" ht="15" x14ac:dyDescent="0.25">
      <c r="A71" s="72"/>
      <c r="B71" s="51">
        <v>30</v>
      </c>
      <c r="C71" s="52" t="s">
        <v>60</v>
      </c>
      <c r="D71" s="120">
        <v>0.64</v>
      </c>
      <c r="E71" s="120">
        <v>0.64</v>
      </c>
      <c r="F71" s="120">
        <v>0.66</v>
      </c>
      <c r="G71" s="120">
        <v>0.72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AM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</row>
    <row r="72" spans="1:75" ht="15" x14ac:dyDescent="0.25">
      <c r="A72" s="72"/>
      <c r="B72" s="51">
        <v>31</v>
      </c>
      <c r="C72" s="52" t="s">
        <v>61</v>
      </c>
      <c r="D72" s="120">
        <v>0.53</v>
      </c>
      <c r="E72" s="120">
        <v>0.54</v>
      </c>
      <c r="F72" s="120">
        <v>0.56000000000000005</v>
      </c>
      <c r="G72" s="120">
        <v>0.64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AM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</row>
    <row r="73" spans="1:75" ht="15" x14ac:dyDescent="0.25">
      <c r="A73" s="72"/>
      <c r="B73" s="51">
        <v>32</v>
      </c>
      <c r="C73" s="52" t="s">
        <v>102</v>
      </c>
      <c r="D73" s="120">
        <v>0.59</v>
      </c>
      <c r="E73" s="120">
        <v>0.59</v>
      </c>
      <c r="F73" s="120">
        <v>0.6</v>
      </c>
      <c r="G73" s="120">
        <v>0.7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AM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</row>
    <row r="74" spans="1:75" ht="15" x14ac:dyDescent="0.25">
      <c r="A74" s="72"/>
      <c r="B74" s="51">
        <v>33</v>
      </c>
      <c r="C74" s="52" t="s">
        <v>113</v>
      </c>
      <c r="D74" s="120">
        <v>0.5</v>
      </c>
      <c r="E74" s="120">
        <v>0.49</v>
      </c>
      <c r="F74" s="120">
        <v>0.52</v>
      </c>
      <c r="G74" s="120">
        <v>0.56999999999999995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AM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</row>
    <row r="75" spans="1:75" ht="15" x14ac:dyDescent="0.25">
      <c r="A75" s="72"/>
      <c r="B75" s="51">
        <v>34</v>
      </c>
      <c r="C75" s="52" t="s">
        <v>62</v>
      </c>
      <c r="D75" s="120">
        <v>0.53</v>
      </c>
      <c r="E75" s="120">
        <v>0.53</v>
      </c>
      <c r="F75" s="120">
        <v>0.55000000000000004</v>
      </c>
      <c r="G75" s="120">
        <v>0.64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AM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</row>
    <row r="76" spans="1:75" ht="15" x14ac:dyDescent="0.25">
      <c r="A76" s="72"/>
      <c r="B76" s="51">
        <v>35</v>
      </c>
      <c r="C76" s="52" t="s">
        <v>63</v>
      </c>
      <c r="D76" s="120">
        <v>0.55000000000000004</v>
      </c>
      <c r="E76" s="120">
        <v>0.54</v>
      </c>
      <c r="F76" s="120">
        <v>0.56000000000000005</v>
      </c>
      <c r="G76" s="120">
        <v>0.63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AM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</row>
    <row r="77" spans="1:75" ht="15" x14ac:dyDescent="0.25">
      <c r="A77" s="72"/>
      <c r="B77" s="51">
        <v>36</v>
      </c>
      <c r="C77" s="52" t="s">
        <v>64</v>
      </c>
      <c r="D77" s="120">
        <v>0.68</v>
      </c>
      <c r="E77" s="120">
        <v>0.68</v>
      </c>
      <c r="F77" s="120">
        <v>0.69</v>
      </c>
      <c r="G77" s="120">
        <v>0.75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AM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</row>
    <row r="78" spans="1:75" ht="15" x14ac:dyDescent="0.25">
      <c r="A78" s="72"/>
      <c r="B78" s="51">
        <v>37</v>
      </c>
      <c r="C78" s="52" t="s">
        <v>65</v>
      </c>
      <c r="D78" s="120">
        <v>0.59</v>
      </c>
      <c r="E78" s="120">
        <v>0.57999999999999996</v>
      </c>
      <c r="F78" s="120">
        <v>0.61</v>
      </c>
      <c r="G78" s="120">
        <v>0.67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AM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</row>
    <row r="79" spans="1:75" ht="15" x14ac:dyDescent="0.25">
      <c r="A79" s="72"/>
      <c r="B79" s="51">
        <v>38</v>
      </c>
      <c r="C79" s="52" t="s">
        <v>66</v>
      </c>
      <c r="D79" s="120">
        <v>0.59</v>
      </c>
      <c r="E79" s="120">
        <v>0.57999999999999996</v>
      </c>
      <c r="F79" s="120">
        <v>0.61</v>
      </c>
      <c r="G79" s="120">
        <v>0.69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AM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</row>
    <row r="80" spans="1:75" ht="15" x14ac:dyDescent="0.25">
      <c r="A80" s="72"/>
      <c r="B80" s="51"/>
      <c r="C80" s="52"/>
      <c r="D80" s="120"/>
      <c r="E80" s="120"/>
      <c r="F80" s="120"/>
      <c r="G80" s="120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AM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</row>
    <row r="81" spans="1:75" ht="15" x14ac:dyDescent="0.25">
      <c r="A81" s="72"/>
      <c r="B81" s="51"/>
      <c r="C81" s="52"/>
      <c r="D81" s="120"/>
      <c r="E81" s="120"/>
      <c r="F81" s="120"/>
      <c r="G81" s="120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AM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</row>
    <row r="82" spans="1:75" ht="15" x14ac:dyDescent="0.25">
      <c r="A82" s="72"/>
      <c r="B82" s="51"/>
      <c r="C82" s="52"/>
      <c r="D82" s="120"/>
      <c r="E82" s="120"/>
      <c r="F82" s="120"/>
      <c r="G82" s="120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AM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</row>
    <row r="83" spans="1:75" ht="15" x14ac:dyDescent="0.25">
      <c r="A83" s="72"/>
      <c r="B83" s="51"/>
      <c r="C83" s="52"/>
      <c r="D83" s="120"/>
      <c r="E83" s="120"/>
      <c r="F83" s="120"/>
      <c r="G83" s="120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AM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</row>
    <row r="84" spans="1:75" ht="15" x14ac:dyDescent="0.25">
      <c r="A84" s="72"/>
      <c r="B84" s="51"/>
      <c r="C84" s="52"/>
      <c r="D84" s="120"/>
      <c r="E84" s="120"/>
      <c r="F84" s="120"/>
      <c r="G84" s="120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AM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</row>
    <row r="85" spans="1:75" ht="15" x14ac:dyDescent="0.25">
      <c r="A85" s="72"/>
      <c r="B85" s="51"/>
      <c r="C85" s="52"/>
      <c r="D85" s="120"/>
      <c r="E85" s="120"/>
      <c r="F85" s="120"/>
      <c r="G85" s="120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AM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</row>
    <row r="86" spans="1:75" ht="15" x14ac:dyDescent="0.25">
      <c r="A86" s="72"/>
      <c r="B86" s="51"/>
      <c r="C86" s="52"/>
      <c r="D86" s="120"/>
      <c r="E86" s="120"/>
      <c r="F86" s="120"/>
      <c r="G86" s="120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AM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</row>
    <row r="87" spans="1:75" ht="15" x14ac:dyDescent="0.25">
      <c r="A87" s="72"/>
      <c r="B87" s="51"/>
      <c r="C87" s="52"/>
      <c r="D87" s="120"/>
      <c r="E87" s="120"/>
      <c r="F87" s="120"/>
      <c r="G87" s="120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AM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</row>
    <row r="88" spans="1:75" ht="15" x14ac:dyDescent="0.25">
      <c r="A88" s="72"/>
      <c r="B88" s="51"/>
      <c r="C88" s="52"/>
      <c r="D88" s="120"/>
      <c r="E88" s="120"/>
      <c r="F88" s="120"/>
      <c r="G88" s="120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AM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</row>
    <row r="89" spans="1:75" ht="15" x14ac:dyDescent="0.25">
      <c r="A89" s="72"/>
      <c r="B89" s="51"/>
      <c r="C89" s="52"/>
      <c r="D89" s="120"/>
      <c r="E89" s="120"/>
      <c r="F89" s="120"/>
      <c r="G89" s="120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AM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</row>
    <row r="90" spans="1:75" ht="15" x14ac:dyDescent="0.25">
      <c r="A90" s="72"/>
      <c r="B90" s="51"/>
      <c r="C90" s="52"/>
      <c r="D90" s="120"/>
      <c r="E90" s="120"/>
      <c r="F90" s="120"/>
      <c r="G90" s="120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AM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</row>
    <row r="91" spans="1:75" ht="15" x14ac:dyDescent="0.25">
      <c r="A91" s="72"/>
      <c r="B91" s="51"/>
      <c r="C91" s="52"/>
      <c r="D91" s="120"/>
      <c r="E91" s="120"/>
      <c r="F91" s="120"/>
      <c r="G91" s="120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AM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</row>
    <row r="92" spans="1:75" ht="15" x14ac:dyDescent="0.25">
      <c r="A92" s="72"/>
      <c r="B92" s="51"/>
      <c r="C92" s="52"/>
      <c r="D92" s="120"/>
      <c r="E92" s="120"/>
      <c r="F92" s="120"/>
      <c r="G92" s="120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AM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</row>
    <row r="93" spans="1:75" ht="15" x14ac:dyDescent="0.25">
      <c r="A93" s="72"/>
      <c r="B93" s="51"/>
      <c r="C93" s="52"/>
      <c r="D93" s="120"/>
      <c r="E93" s="120"/>
      <c r="F93" s="120"/>
      <c r="G93" s="120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AM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</row>
    <row r="94" spans="1:75" ht="15" x14ac:dyDescent="0.25">
      <c r="A94" s="72"/>
      <c r="B94" s="51"/>
      <c r="C94" s="52"/>
      <c r="D94" s="120"/>
      <c r="E94" s="120"/>
      <c r="F94" s="120"/>
      <c r="G94" s="120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AM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</row>
    <row r="95" spans="1:75" ht="15" x14ac:dyDescent="0.25">
      <c r="A95" s="72"/>
      <c r="B95" s="51"/>
      <c r="C95" s="52"/>
      <c r="D95" s="120"/>
      <c r="E95" s="120"/>
      <c r="F95" s="120"/>
      <c r="G95" s="120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AM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</row>
    <row r="96" spans="1:75" ht="15" x14ac:dyDescent="0.25">
      <c r="A96" s="72"/>
      <c r="B96" s="51"/>
      <c r="C96" s="52"/>
      <c r="D96" s="120"/>
      <c r="E96" s="120"/>
      <c r="F96" s="120"/>
      <c r="G96" s="120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AM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</row>
    <row r="97" spans="1:75" ht="15" x14ac:dyDescent="0.25">
      <c r="A97" s="72"/>
      <c r="B97" s="51"/>
      <c r="C97" s="52"/>
      <c r="D97" s="120"/>
      <c r="E97" s="120"/>
      <c r="F97" s="120"/>
      <c r="G97" s="120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AM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</row>
    <row r="98" spans="1:75" ht="15" x14ac:dyDescent="0.25">
      <c r="A98" s="72"/>
      <c r="B98" s="51"/>
      <c r="C98" s="52"/>
      <c r="D98" s="120"/>
      <c r="E98" s="120"/>
      <c r="F98" s="120"/>
      <c r="G98" s="120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AM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</row>
    <row r="99" spans="1:75" ht="15" x14ac:dyDescent="0.25">
      <c r="A99" s="72"/>
      <c r="B99" s="51"/>
      <c r="C99" s="52"/>
      <c r="D99" s="120"/>
      <c r="E99" s="120"/>
      <c r="F99" s="120"/>
      <c r="G99" s="120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AM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</row>
    <row r="100" spans="1:75" ht="15" x14ac:dyDescent="0.25">
      <c r="A100" s="72"/>
      <c r="B100" s="51"/>
      <c r="C100" s="52"/>
      <c r="D100" s="120"/>
      <c r="E100" s="120"/>
      <c r="F100" s="120"/>
      <c r="G100" s="120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AM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</row>
    <row r="101" spans="1:75" ht="15" x14ac:dyDescent="0.25">
      <c r="A101" s="72"/>
      <c r="B101" s="51"/>
      <c r="C101" s="52"/>
      <c r="D101" s="120"/>
      <c r="E101" s="120"/>
      <c r="F101" s="120"/>
      <c r="G101" s="120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AM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</row>
    <row r="102" spans="1:75" ht="15" x14ac:dyDescent="0.25">
      <c r="A102" s="72"/>
      <c r="B102" s="51"/>
      <c r="C102" s="52"/>
      <c r="D102" s="120"/>
      <c r="E102" s="120"/>
      <c r="F102" s="120"/>
      <c r="G102" s="120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AM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</row>
    <row r="103" spans="1:75" ht="15" x14ac:dyDescent="0.25">
      <c r="A103" s="72"/>
      <c r="B103" s="51"/>
      <c r="C103" s="52"/>
      <c r="D103" s="120"/>
      <c r="E103" s="120"/>
      <c r="F103" s="120"/>
      <c r="G103" s="120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AM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</row>
    <row r="104" spans="1:75" ht="15" x14ac:dyDescent="0.25">
      <c r="A104" s="72"/>
      <c r="B104" s="51"/>
      <c r="C104" s="52"/>
      <c r="D104" s="120"/>
      <c r="E104" s="120"/>
      <c r="F104" s="120"/>
      <c r="G104" s="120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AM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</row>
    <row r="105" spans="1:75" ht="15" x14ac:dyDescent="0.25">
      <c r="A105" s="72"/>
      <c r="B105" s="51"/>
      <c r="C105" s="52"/>
      <c r="D105" s="120"/>
      <c r="E105" s="120"/>
      <c r="F105" s="120"/>
      <c r="G105" s="120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AM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</row>
    <row r="106" spans="1:75" ht="15" x14ac:dyDescent="0.25">
      <c r="A106" s="72"/>
      <c r="B106" s="51"/>
      <c r="C106" s="52"/>
      <c r="D106" s="120"/>
      <c r="E106" s="120"/>
      <c r="F106" s="120"/>
      <c r="G106" s="120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AM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</row>
    <row r="107" spans="1:75" ht="15" x14ac:dyDescent="0.25">
      <c r="A107" s="72"/>
      <c r="B107" s="51"/>
      <c r="C107" s="52"/>
      <c r="D107" s="120"/>
      <c r="E107" s="120"/>
      <c r="F107" s="120"/>
      <c r="G107" s="120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AM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</row>
    <row r="108" spans="1:75" ht="15" x14ac:dyDescent="0.25">
      <c r="A108" s="72"/>
      <c r="B108" s="51"/>
      <c r="C108" s="52"/>
      <c r="D108" s="120"/>
      <c r="E108" s="120"/>
      <c r="F108" s="120"/>
      <c r="G108" s="120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AM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</row>
    <row r="109" spans="1:75" ht="15" x14ac:dyDescent="0.25">
      <c r="A109" s="72"/>
      <c r="B109" s="51"/>
      <c r="C109" s="52"/>
      <c r="D109" s="120"/>
      <c r="E109" s="120"/>
      <c r="F109" s="120"/>
      <c r="G109" s="120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AM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</row>
    <row r="110" spans="1:75" ht="15" x14ac:dyDescent="0.25">
      <c r="A110" s="72"/>
      <c r="B110" s="51"/>
      <c r="C110" s="52"/>
      <c r="D110" s="120"/>
      <c r="E110" s="120"/>
      <c r="F110" s="120"/>
      <c r="G110" s="120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AM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</row>
    <row r="111" spans="1:75" ht="15" x14ac:dyDescent="0.25">
      <c r="A111" s="72"/>
      <c r="B111" s="51"/>
      <c r="C111" s="52"/>
      <c r="D111" s="120"/>
      <c r="E111" s="120"/>
      <c r="F111" s="120"/>
      <c r="G111" s="120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AM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</row>
    <row r="112" spans="1:75" ht="15" x14ac:dyDescent="0.25">
      <c r="A112" s="72"/>
      <c r="B112" s="51"/>
      <c r="C112" s="52"/>
      <c r="D112" s="120"/>
      <c r="E112" s="120"/>
      <c r="F112" s="120"/>
      <c r="G112" s="120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AM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</row>
    <row r="113" spans="1:75" ht="15" x14ac:dyDescent="0.25">
      <c r="A113" s="72"/>
      <c r="B113" s="51"/>
      <c r="C113" s="52"/>
      <c r="D113" s="120"/>
      <c r="E113" s="120"/>
      <c r="F113" s="120"/>
      <c r="G113" s="120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AM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</row>
    <row r="114" spans="1:75" ht="15" x14ac:dyDescent="0.25">
      <c r="A114" s="72"/>
      <c r="B114" s="51"/>
      <c r="C114" s="52"/>
      <c r="D114" s="120"/>
      <c r="E114" s="120"/>
      <c r="F114" s="120"/>
      <c r="G114" s="120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AM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</row>
    <row r="115" spans="1:75" ht="15" x14ac:dyDescent="0.25">
      <c r="A115" s="72"/>
      <c r="B115" s="51"/>
      <c r="C115" s="53"/>
      <c r="D115" s="120"/>
      <c r="E115" s="120"/>
      <c r="F115" s="120"/>
      <c r="G115" s="120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AM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</row>
    <row r="116" spans="1:75" ht="15" x14ac:dyDescent="0.25">
      <c r="A116" s="72"/>
      <c r="B116" s="51"/>
      <c r="C116" s="53"/>
      <c r="D116" s="120"/>
      <c r="E116" s="120"/>
      <c r="F116" s="120"/>
      <c r="G116" s="120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AM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</row>
    <row r="117" spans="1:75" ht="15" x14ac:dyDescent="0.25">
      <c r="A117" s="72"/>
      <c r="B117" s="51"/>
      <c r="C117" s="53"/>
      <c r="D117" s="120"/>
      <c r="E117" s="120"/>
      <c r="F117" s="120"/>
      <c r="G117" s="120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AM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</row>
    <row r="118" spans="1:75" ht="15" x14ac:dyDescent="0.25">
      <c r="A118" s="72"/>
      <c r="B118" s="51"/>
      <c r="C118" s="53"/>
      <c r="D118" s="120"/>
      <c r="E118" s="120"/>
      <c r="F118" s="120"/>
      <c r="G118" s="120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AM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</row>
    <row r="119" spans="1:75" ht="15" x14ac:dyDescent="0.25">
      <c r="A119" s="72"/>
      <c r="B119" s="51"/>
      <c r="C119" s="53"/>
      <c r="D119" s="120"/>
      <c r="E119" s="120"/>
      <c r="F119" s="120"/>
      <c r="G119" s="120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AM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</row>
    <row r="120" spans="1:75" ht="15" x14ac:dyDescent="0.25">
      <c r="A120" s="72"/>
      <c r="B120" s="51"/>
      <c r="C120" s="53"/>
      <c r="D120" s="120"/>
      <c r="E120" s="120"/>
      <c r="F120" s="120"/>
      <c r="G120" s="120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AM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</row>
    <row r="121" spans="1:75" ht="15" x14ac:dyDescent="0.25">
      <c r="A121" s="72"/>
      <c r="B121" s="51"/>
      <c r="C121" s="53"/>
      <c r="D121" s="120"/>
      <c r="E121" s="120"/>
      <c r="F121" s="120"/>
      <c r="G121" s="120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AM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</row>
    <row r="122" spans="1:75" ht="15" x14ac:dyDescent="0.25">
      <c r="A122" s="72"/>
      <c r="B122" s="51"/>
      <c r="C122" s="53"/>
      <c r="D122" s="120"/>
      <c r="E122" s="120"/>
      <c r="F122" s="120"/>
      <c r="G122" s="120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AM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</row>
    <row r="123" spans="1:75" ht="15" x14ac:dyDescent="0.25">
      <c r="A123" s="72"/>
      <c r="B123" s="51"/>
      <c r="C123" s="53"/>
      <c r="D123" s="120"/>
      <c r="E123" s="120"/>
      <c r="F123" s="120"/>
      <c r="G123" s="120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AM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</row>
    <row r="124" spans="1:75" ht="15" x14ac:dyDescent="0.25">
      <c r="A124" s="72"/>
      <c r="B124" s="51"/>
      <c r="C124" s="53"/>
      <c r="D124" s="120"/>
      <c r="E124" s="120"/>
      <c r="F124" s="120"/>
      <c r="G124" s="120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AM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</row>
    <row r="125" spans="1:75" ht="15" x14ac:dyDescent="0.25">
      <c r="A125" s="72"/>
      <c r="B125" s="51"/>
      <c r="C125" s="53"/>
      <c r="D125" s="120"/>
      <c r="E125" s="120"/>
      <c r="F125" s="120"/>
      <c r="G125" s="120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AM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</row>
    <row r="126" spans="1:75" ht="15" x14ac:dyDescent="0.25">
      <c r="A126" s="72"/>
      <c r="B126" s="51"/>
      <c r="C126" s="53"/>
      <c r="D126" s="120"/>
      <c r="E126" s="120"/>
      <c r="F126" s="120"/>
      <c r="G126" s="120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AM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</row>
    <row r="127" spans="1:75" ht="15" x14ac:dyDescent="0.25">
      <c r="A127" s="72"/>
      <c r="B127" s="51"/>
      <c r="C127" s="53"/>
      <c r="D127" s="120"/>
      <c r="E127" s="120"/>
      <c r="F127" s="120"/>
      <c r="G127" s="120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AM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</row>
    <row r="128" spans="1:75" ht="15" x14ac:dyDescent="0.25">
      <c r="A128" s="72"/>
      <c r="B128" s="72"/>
      <c r="C128" s="72"/>
      <c r="D128" s="120"/>
      <c r="E128" s="120"/>
      <c r="F128" s="120"/>
      <c r="G128" s="120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AM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</row>
    <row r="129" spans="1:75" ht="15" x14ac:dyDescent="0.25">
      <c r="A129" s="72"/>
      <c r="B129" s="72"/>
      <c r="C129" s="72"/>
      <c r="D129" s="120"/>
      <c r="E129" s="120"/>
      <c r="F129" s="120"/>
      <c r="G129" s="120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AM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</row>
    <row r="130" spans="1:75" ht="15" x14ac:dyDescent="0.25">
      <c r="A130" s="72"/>
      <c r="B130" s="72"/>
      <c r="C130" s="72"/>
      <c r="D130" s="120"/>
      <c r="E130" s="120"/>
      <c r="F130" s="120"/>
      <c r="G130" s="120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AM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</row>
    <row r="131" spans="1:75" x14ac:dyDescent="0.2">
      <c r="A131" s="72"/>
      <c r="B131" s="72"/>
      <c r="C131" s="72"/>
      <c r="D131" s="72"/>
      <c r="E131" s="116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AM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</row>
    <row r="132" spans="1:75" x14ac:dyDescent="0.2">
      <c r="A132" s="72"/>
      <c r="B132" s="72"/>
      <c r="C132" s="72"/>
      <c r="D132" s="72"/>
      <c r="E132" s="116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AM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</row>
    <row r="133" spans="1:75" x14ac:dyDescent="0.2">
      <c r="A133" s="72"/>
      <c r="B133" s="72"/>
      <c r="C133" s="72"/>
      <c r="D133" s="72"/>
      <c r="E133" s="116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AM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</row>
    <row r="134" spans="1:75" x14ac:dyDescent="0.2">
      <c r="A134" s="72"/>
      <c r="B134" s="72"/>
      <c r="C134" s="72"/>
      <c r="D134" s="72"/>
      <c r="E134" s="116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AM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</row>
    <row r="135" spans="1:75" x14ac:dyDescent="0.2">
      <c r="A135" s="72"/>
      <c r="B135" s="72"/>
      <c r="C135" s="72"/>
      <c r="D135" s="72"/>
      <c r="E135" s="116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AM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</row>
    <row r="136" spans="1:75" x14ac:dyDescent="0.2">
      <c r="A136" s="72"/>
      <c r="B136" s="72"/>
      <c r="C136" s="72"/>
      <c r="D136" s="72"/>
      <c r="E136" s="116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AM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</row>
    <row r="137" spans="1:75" x14ac:dyDescent="0.2">
      <c r="A137" s="72"/>
      <c r="B137" s="72"/>
      <c r="C137" s="72"/>
      <c r="D137" s="72"/>
      <c r="E137" s="116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AM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</row>
    <row r="138" spans="1:75" x14ac:dyDescent="0.2">
      <c r="A138" s="72"/>
      <c r="B138" s="72"/>
      <c r="C138" s="72"/>
      <c r="D138" s="72"/>
      <c r="E138" s="116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AM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</row>
    <row r="139" spans="1:75" x14ac:dyDescent="0.2">
      <c r="A139" s="72"/>
      <c r="B139" s="72"/>
      <c r="C139" s="72"/>
      <c r="D139" s="72"/>
      <c r="E139" s="116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AM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</row>
    <row r="140" spans="1:75" x14ac:dyDescent="0.2">
      <c r="A140" s="72"/>
      <c r="B140" s="72"/>
      <c r="C140" s="72"/>
      <c r="D140" s="72"/>
      <c r="E140" s="116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AM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</row>
    <row r="141" spans="1:75" x14ac:dyDescent="0.2">
      <c r="A141" s="72"/>
      <c r="B141" s="72"/>
      <c r="C141" s="72"/>
      <c r="D141" s="72"/>
      <c r="E141" s="116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AM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</row>
    <row r="142" spans="1:75" x14ac:dyDescent="0.2">
      <c r="A142" s="72"/>
      <c r="B142" s="72"/>
      <c r="C142" s="72"/>
      <c r="D142" s="72"/>
      <c r="E142" s="116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AM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</row>
    <row r="143" spans="1:75" x14ac:dyDescent="0.2">
      <c r="A143" s="72"/>
      <c r="B143" s="72"/>
      <c r="C143" s="72"/>
      <c r="D143" s="72"/>
      <c r="E143" s="116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AM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</row>
    <row r="144" spans="1:75" x14ac:dyDescent="0.2">
      <c r="A144" s="72"/>
      <c r="B144" s="72"/>
      <c r="C144" s="72"/>
      <c r="D144" s="72"/>
      <c r="E144" s="116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AM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</row>
    <row r="145" spans="1:75" x14ac:dyDescent="0.2">
      <c r="A145" s="72"/>
      <c r="B145" s="72"/>
      <c r="C145" s="72"/>
      <c r="D145" s="72"/>
      <c r="E145" s="116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AM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</row>
    <row r="146" spans="1:75" x14ac:dyDescent="0.2">
      <c r="A146" s="72"/>
      <c r="B146" s="72"/>
      <c r="C146" s="72"/>
      <c r="D146" s="72"/>
      <c r="E146" s="116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AM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</row>
    <row r="147" spans="1:75" x14ac:dyDescent="0.2">
      <c r="A147" s="72"/>
      <c r="B147" s="72"/>
      <c r="C147" s="72"/>
      <c r="D147" s="72"/>
      <c r="E147" s="116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AM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</row>
    <row r="148" spans="1:75" x14ac:dyDescent="0.2">
      <c r="A148" s="72"/>
      <c r="B148" s="72"/>
      <c r="C148" s="72"/>
      <c r="D148" s="72"/>
      <c r="E148" s="116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AM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</row>
    <row r="149" spans="1:75" x14ac:dyDescent="0.2">
      <c r="A149" s="72"/>
      <c r="B149" s="72"/>
      <c r="C149" s="116"/>
      <c r="D149" s="116"/>
      <c r="E149" s="116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AM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</row>
    <row r="150" spans="1:75" x14ac:dyDescent="0.2">
      <c r="A150" s="72"/>
      <c r="B150" s="72"/>
      <c r="C150" s="116"/>
      <c r="D150" s="116"/>
      <c r="E150" s="116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AM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</row>
    <row r="151" spans="1:75" x14ac:dyDescent="0.2">
      <c r="A151" s="72"/>
      <c r="B151" s="72"/>
      <c r="C151" s="116"/>
      <c r="D151" s="116"/>
      <c r="E151" s="116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AM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</row>
    <row r="152" spans="1:75" x14ac:dyDescent="0.2">
      <c r="A152" s="72"/>
      <c r="B152" s="72"/>
      <c r="C152" s="116"/>
      <c r="D152" s="116"/>
      <c r="E152" s="116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AM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</row>
    <row r="153" spans="1:75" x14ac:dyDescent="0.2">
      <c r="A153" s="72"/>
      <c r="B153" s="72"/>
      <c r="C153" s="116"/>
      <c r="D153" s="116"/>
      <c r="E153" s="116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AM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</row>
    <row r="154" spans="1:75" x14ac:dyDescent="0.2">
      <c r="A154" s="72"/>
      <c r="B154" s="72"/>
      <c r="C154" s="116"/>
      <c r="D154" s="116"/>
      <c r="E154" s="116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AM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</row>
    <row r="155" spans="1:75" x14ac:dyDescent="0.2">
      <c r="A155" s="72"/>
      <c r="B155" s="72"/>
      <c r="C155" s="116"/>
      <c r="D155" s="116"/>
      <c r="E155" s="116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AM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</row>
    <row r="156" spans="1:75" x14ac:dyDescent="0.2">
      <c r="A156" s="72"/>
      <c r="B156" s="72"/>
      <c r="C156" s="116"/>
      <c r="D156" s="116"/>
      <c r="E156" s="116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AM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</row>
    <row r="157" spans="1:75" x14ac:dyDescent="0.2">
      <c r="A157" s="72"/>
      <c r="B157" s="72"/>
      <c r="C157" s="116"/>
      <c r="D157" s="116"/>
      <c r="E157" s="116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AM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</row>
    <row r="158" spans="1:75" x14ac:dyDescent="0.2">
      <c r="A158" s="72"/>
      <c r="B158" s="72"/>
      <c r="C158" s="116"/>
      <c r="D158" s="116"/>
      <c r="E158" s="116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AM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</row>
    <row r="159" spans="1:75" x14ac:dyDescent="0.2">
      <c r="A159" s="72"/>
      <c r="B159" s="72"/>
      <c r="C159" s="116"/>
      <c r="D159" s="116"/>
      <c r="E159" s="116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AM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</row>
    <row r="160" spans="1:75" x14ac:dyDescent="0.2">
      <c r="A160" s="72"/>
      <c r="B160" s="72"/>
      <c r="C160" s="116"/>
      <c r="D160" s="116"/>
      <c r="E160" s="116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AM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</row>
    <row r="161" spans="1:75" x14ac:dyDescent="0.2">
      <c r="A161" s="72"/>
      <c r="B161" s="72"/>
      <c r="C161" s="116"/>
      <c r="D161" s="116"/>
      <c r="E161" s="116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AM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</row>
    <row r="162" spans="1:75" x14ac:dyDescent="0.2">
      <c r="A162" s="72"/>
      <c r="B162" s="72"/>
      <c r="C162" s="116"/>
      <c r="D162" s="116"/>
      <c r="E162" s="116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AM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</row>
    <row r="163" spans="1:75" x14ac:dyDescent="0.2">
      <c r="A163" s="72"/>
      <c r="B163" s="72"/>
      <c r="C163" s="116"/>
      <c r="D163" s="116"/>
      <c r="E163" s="116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AM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</row>
    <row r="164" spans="1:75" x14ac:dyDescent="0.2">
      <c r="A164" s="72"/>
      <c r="B164" s="72"/>
      <c r="C164" s="116"/>
      <c r="D164" s="116"/>
      <c r="E164" s="116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AM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</row>
    <row r="165" spans="1:75" x14ac:dyDescent="0.2">
      <c r="A165" s="72"/>
      <c r="B165" s="72"/>
      <c r="C165" s="116"/>
      <c r="D165" s="116"/>
      <c r="E165" s="116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AM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</row>
    <row r="166" spans="1:75" x14ac:dyDescent="0.2">
      <c r="A166" s="72"/>
      <c r="B166" s="72"/>
      <c r="C166" s="116"/>
      <c r="D166" s="116"/>
      <c r="E166" s="116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AM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</row>
    <row r="167" spans="1:75" x14ac:dyDescent="0.2">
      <c r="A167" s="72"/>
      <c r="B167" s="72"/>
      <c r="C167" s="116"/>
      <c r="D167" s="116"/>
      <c r="E167" s="116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AM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</row>
    <row r="168" spans="1:75" x14ac:dyDescent="0.2">
      <c r="A168" s="72"/>
      <c r="B168" s="72"/>
      <c r="C168" s="116"/>
      <c r="D168" s="116"/>
      <c r="E168" s="116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AM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</row>
    <row r="169" spans="1:75" x14ac:dyDescent="0.2">
      <c r="A169" s="72"/>
      <c r="B169" s="72"/>
      <c r="C169" s="116"/>
      <c r="D169" s="116"/>
      <c r="E169" s="116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AM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</row>
    <row r="170" spans="1:75" x14ac:dyDescent="0.2">
      <c r="A170" s="72"/>
      <c r="B170" s="72"/>
      <c r="C170" s="116"/>
      <c r="D170" s="116"/>
      <c r="E170" s="116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AM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</row>
    <row r="171" spans="1:75" x14ac:dyDescent="0.2">
      <c r="A171" s="72"/>
      <c r="B171" s="72"/>
      <c r="C171" s="116"/>
      <c r="D171" s="116"/>
      <c r="E171" s="116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AM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</row>
    <row r="172" spans="1:75" x14ac:dyDescent="0.2">
      <c r="A172" s="72"/>
      <c r="B172" s="72"/>
      <c r="C172" s="116"/>
      <c r="D172" s="116"/>
      <c r="E172" s="116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AM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</row>
    <row r="173" spans="1:75" x14ac:dyDescent="0.2">
      <c r="A173" s="72"/>
      <c r="B173" s="72"/>
      <c r="C173" s="116"/>
      <c r="D173" s="116"/>
      <c r="E173" s="116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AM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</row>
    <row r="174" spans="1:75" x14ac:dyDescent="0.2">
      <c r="A174" s="72"/>
      <c r="B174" s="72"/>
      <c r="C174" s="116"/>
      <c r="D174" s="116"/>
      <c r="E174" s="116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AM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</row>
    <row r="175" spans="1:75" x14ac:dyDescent="0.2">
      <c r="A175" s="72"/>
      <c r="B175" s="72"/>
      <c r="C175" s="116"/>
      <c r="D175" s="116"/>
      <c r="E175" s="116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AM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</row>
    <row r="176" spans="1:75" x14ac:dyDescent="0.2">
      <c r="A176" s="72"/>
      <c r="B176" s="72"/>
      <c r="C176" s="116"/>
      <c r="D176" s="116"/>
      <c r="E176" s="116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AM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</row>
    <row r="177" spans="1:75" x14ac:dyDescent="0.2">
      <c r="A177" s="72"/>
      <c r="B177" s="72"/>
      <c r="C177" s="116"/>
      <c r="D177" s="116"/>
      <c r="E177" s="116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AM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</row>
    <row r="178" spans="1:75" x14ac:dyDescent="0.2">
      <c r="A178" s="72"/>
      <c r="B178" s="72"/>
      <c r="C178" s="116"/>
      <c r="D178" s="116"/>
      <c r="E178" s="116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AM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</row>
    <row r="179" spans="1:75" x14ac:dyDescent="0.2">
      <c r="A179" s="72"/>
      <c r="B179" s="72"/>
      <c r="C179" s="116"/>
      <c r="D179" s="116"/>
      <c r="E179" s="116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AM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</row>
    <row r="180" spans="1:75" x14ac:dyDescent="0.2">
      <c r="A180" s="72"/>
      <c r="B180" s="72"/>
      <c r="C180" s="116"/>
      <c r="D180" s="116"/>
      <c r="E180" s="116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AM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</row>
    <row r="181" spans="1:75" x14ac:dyDescent="0.2">
      <c r="A181" s="72"/>
      <c r="B181" s="72"/>
      <c r="C181" s="116"/>
      <c r="D181" s="116"/>
      <c r="E181" s="116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AM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</row>
    <row r="182" spans="1:75" x14ac:dyDescent="0.2">
      <c r="A182" s="72"/>
      <c r="B182" s="72"/>
      <c r="C182" s="116"/>
      <c r="D182" s="116"/>
      <c r="E182" s="116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AM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</row>
    <row r="183" spans="1:75" x14ac:dyDescent="0.2">
      <c r="A183" s="72"/>
      <c r="B183" s="72"/>
      <c r="C183" s="116"/>
      <c r="D183" s="116"/>
      <c r="E183" s="116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AM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</row>
    <row r="184" spans="1:75" x14ac:dyDescent="0.2">
      <c r="A184" s="72"/>
      <c r="B184" s="72"/>
      <c r="C184" s="116"/>
      <c r="D184" s="116"/>
      <c r="E184" s="116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AM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</row>
    <row r="185" spans="1:75" x14ac:dyDescent="0.2">
      <c r="A185" s="72"/>
      <c r="B185" s="72"/>
      <c r="C185" s="116"/>
      <c r="D185" s="116"/>
      <c r="E185" s="116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AM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</row>
    <row r="186" spans="1:75" x14ac:dyDescent="0.2">
      <c r="A186" s="72"/>
      <c r="B186" s="72"/>
      <c r="C186" s="116"/>
      <c r="D186" s="116"/>
      <c r="E186" s="116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AM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</row>
    <row r="187" spans="1:75" x14ac:dyDescent="0.2">
      <c r="A187" s="72"/>
      <c r="B187" s="72"/>
      <c r="C187" s="116"/>
      <c r="D187" s="116"/>
      <c r="E187" s="116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AM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</row>
    <row r="188" spans="1:75" x14ac:dyDescent="0.2">
      <c r="A188" s="72"/>
      <c r="B188" s="72"/>
      <c r="C188" s="116"/>
      <c r="D188" s="116"/>
      <c r="E188" s="116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AM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</row>
    <row r="189" spans="1:75" x14ac:dyDescent="0.2">
      <c r="A189" s="72"/>
      <c r="B189" s="72"/>
      <c r="C189" s="116"/>
      <c r="D189" s="116"/>
      <c r="E189" s="116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AM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</row>
    <row r="190" spans="1:75" x14ac:dyDescent="0.2">
      <c r="A190" s="72"/>
      <c r="B190" s="72"/>
      <c r="C190" s="116"/>
      <c r="D190" s="116"/>
      <c r="E190" s="116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AM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</row>
    <row r="191" spans="1:75" x14ac:dyDescent="0.2">
      <c r="A191" s="72"/>
      <c r="B191" s="72"/>
      <c r="C191" s="116"/>
      <c r="D191" s="116"/>
      <c r="E191" s="116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AM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</row>
    <row r="192" spans="1:75" x14ac:dyDescent="0.2">
      <c r="A192" s="72"/>
      <c r="B192" s="72"/>
      <c r="C192" s="116"/>
      <c r="D192" s="116"/>
      <c r="E192" s="116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AM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</row>
    <row r="193" spans="1:75" x14ac:dyDescent="0.2">
      <c r="A193" s="72"/>
      <c r="B193" s="72"/>
      <c r="C193" s="116"/>
      <c r="D193" s="116"/>
      <c r="E193" s="116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AM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</row>
    <row r="194" spans="1:75" x14ac:dyDescent="0.2">
      <c r="A194" s="72"/>
      <c r="B194" s="72"/>
      <c r="C194" s="116"/>
      <c r="D194" s="116"/>
      <c r="E194" s="116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AM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</row>
    <row r="195" spans="1:75" x14ac:dyDescent="0.2">
      <c r="A195" s="72"/>
      <c r="B195" s="72"/>
      <c r="C195" s="116"/>
      <c r="D195" s="116"/>
      <c r="E195" s="116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AM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</row>
    <row r="196" spans="1:75" x14ac:dyDescent="0.2">
      <c r="A196" s="72"/>
      <c r="B196" s="72"/>
      <c r="C196" s="116"/>
      <c r="D196" s="116"/>
      <c r="E196" s="116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AM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</row>
    <row r="197" spans="1:75" x14ac:dyDescent="0.2">
      <c r="A197" s="72"/>
      <c r="B197" s="72"/>
      <c r="C197" s="116"/>
      <c r="D197" s="116"/>
      <c r="E197" s="116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AM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</row>
    <row r="198" spans="1:75" x14ac:dyDescent="0.2">
      <c r="A198" s="72"/>
      <c r="B198" s="72"/>
      <c r="C198" s="116"/>
      <c r="D198" s="116"/>
      <c r="E198" s="116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AM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</row>
    <row r="199" spans="1:75" x14ac:dyDescent="0.2">
      <c r="A199" s="72"/>
      <c r="B199" s="72"/>
      <c r="C199" s="116"/>
      <c r="D199" s="116"/>
      <c r="E199" s="116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AM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</row>
    <row r="200" spans="1:75" x14ac:dyDescent="0.2">
      <c r="A200" s="72"/>
      <c r="B200" s="72"/>
      <c r="C200" s="116"/>
      <c r="D200" s="116"/>
      <c r="E200" s="116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AM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</row>
    <row r="201" spans="1:75" x14ac:dyDescent="0.2">
      <c r="A201" s="72"/>
      <c r="B201" s="72"/>
      <c r="C201" s="116"/>
      <c r="D201" s="116"/>
      <c r="E201" s="116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AM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</row>
    <row r="202" spans="1:75" x14ac:dyDescent="0.2">
      <c r="A202" s="72"/>
      <c r="B202" s="72"/>
      <c r="C202" s="116"/>
      <c r="D202" s="116"/>
      <c r="E202" s="116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AM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</row>
    <row r="203" spans="1:75" x14ac:dyDescent="0.2">
      <c r="A203" s="72"/>
      <c r="B203" s="72"/>
      <c r="C203" s="116"/>
      <c r="D203" s="116"/>
      <c r="E203" s="116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AM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</row>
    <row r="204" spans="1:75" x14ac:dyDescent="0.2">
      <c r="A204" s="72"/>
      <c r="B204" s="72"/>
      <c r="C204" s="116"/>
      <c r="D204" s="116"/>
      <c r="E204" s="116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AM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</row>
    <row r="205" spans="1:75" x14ac:dyDescent="0.2">
      <c r="A205" s="72"/>
      <c r="B205" s="72"/>
      <c r="C205" s="116"/>
      <c r="D205" s="116"/>
      <c r="E205" s="116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AM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</row>
    <row r="206" spans="1:75" x14ac:dyDescent="0.2">
      <c r="A206" s="72"/>
      <c r="B206" s="72"/>
      <c r="C206" s="116"/>
      <c r="D206" s="116"/>
      <c r="E206" s="116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AM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</row>
    <row r="207" spans="1:75" x14ac:dyDescent="0.2">
      <c r="A207" s="72"/>
      <c r="B207" s="72"/>
      <c r="C207" s="116"/>
      <c r="D207" s="116"/>
      <c r="E207" s="116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AM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</row>
    <row r="208" spans="1:75" x14ac:dyDescent="0.2">
      <c r="A208" s="72"/>
      <c r="B208" s="72"/>
      <c r="C208" s="116"/>
      <c r="D208" s="116"/>
      <c r="E208" s="116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AM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</row>
    <row r="209" spans="1:75" x14ac:dyDescent="0.2">
      <c r="A209" s="72"/>
      <c r="B209" s="72"/>
      <c r="C209" s="116"/>
      <c r="D209" s="116"/>
      <c r="E209" s="116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AM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</row>
    <row r="210" spans="1:75" x14ac:dyDescent="0.2">
      <c r="A210" s="72"/>
      <c r="B210" s="72"/>
      <c r="C210" s="116"/>
      <c r="D210" s="116"/>
      <c r="E210" s="116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AM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</row>
    <row r="211" spans="1:75" x14ac:dyDescent="0.2">
      <c r="A211" s="72"/>
      <c r="B211" s="72"/>
      <c r="C211" s="116"/>
      <c r="D211" s="116"/>
      <c r="E211" s="116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AM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</row>
    <row r="212" spans="1:75" x14ac:dyDescent="0.2">
      <c r="A212" s="72"/>
      <c r="B212" s="72"/>
      <c r="C212" s="116"/>
      <c r="D212" s="116"/>
      <c r="E212" s="116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AM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</row>
    <row r="213" spans="1:75" x14ac:dyDescent="0.2">
      <c r="A213" s="72"/>
      <c r="B213" s="72"/>
      <c r="C213" s="116"/>
      <c r="D213" s="116"/>
      <c r="E213" s="116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AM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</row>
    <row r="214" spans="1:75" x14ac:dyDescent="0.2">
      <c r="A214" s="72"/>
      <c r="B214" s="72"/>
      <c r="C214" s="116"/>
      <c r="D214" s="116"/>
      <c r="E214" s="116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AM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</row>
    <row r="215" spans="1:75" x14ac:dyDescent="0.2">
      <c r="A215" s="72"/>
      <c r="B215" s="72"/>
      <c r="C215" s="116"/>
      <c r="D215" s="116"/>
      <c r="E215" s="116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AM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</row>
    <row r="216" spans="1:75" x14ac:dyDescent="0.2">
      <c r="A216" s="72"/>
      <c r="B216" s="72"/>
      <c r="C216" s="116"/>
      <c r="D216" s="116"/>
      <c r="E216" s="116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AM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</row>
    <row r="217" spans="1:75" x14ac:dyDescent="0.2">
      <c r="A217" s="72"/>
      <c r="B217" s="72"/>
      <c r="C217" s="116"/>
      <c r="D217" s="116"/>
      <c r="E217" s="116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AM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</row>
    <row r="218" spans="1:75" x14ac:dyDescent="0.2">
      <c r="A218" s="72"/>
      <c r="B218" s="72"/>
      <c r="C218" s="116"/>
      <c r="D218" s="116"/>
      <c r="E218" s="116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AM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</row>
    <row r="219" spans="1:75" x14ac:dyDescent="0.2">
      <c r="A219" s="72"/>
      <c r="B219" s="72"/>
      <c r="C219" s="116"/>
      <c r="D219" s="116"/>
      <c r="E219" s="116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AM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</row>
    <row r="220" spans="1:75" x14ac:dyDescent="0.2">
      <c r="A220" s="72"/>
      <c r="B220" s="72"/>
      <c r="C220" s="116"/>
      <c r="D220" s="116"/>
      <c r="E220" s="116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AM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</row>
    <row r="221" spans="1:75" x14ac:dyDescent="0.2">
      <c r="A221" s="72"/>
      <c r="B221" s="72"/>
      <c r="C221" s="116"/>
      <c r="D221" s="116"/>
      <c r="E221" s="116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AM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</row>
    <row r="222" spans="1:75" x14ac:dyDescent="0.2">
      <c r="A222" s="72"/>
      <c r="B222" s="72"/>
      <c r="C222" s="116"/>
      <c r="D222" s="116"/>
      <c r="E222" s="116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AM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</row>
    <row r="223" spans="1:75" x14ac:dyDescent="0.2">
      <c r="A223" s="72"/>
      <c r="B223" s="72"/>
      <c r="C223" s="116"/>
      <c r="D223" s="116"/>
      <c r="E223" s="116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AM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</row>
    <row r="224" spans="1:75" x14ac:dyDescent="0.2">
      <c r="A224" s="72"/>
      <c r="B224" s="72"/>
      <c r="C224" s="116"/>
      <c r="D224" s="116"/>
      <c r="E224" s="116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AM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</row>
    <row r="225" spans="1:75" x14ac:dyDescent="0.2">
      <c r="A225" s="72"/>
      <c r="B225" s="72"/>
      <c r="C225" s="116"/>
      <c r="D225" s="116"/>
      <c r="E225" s="116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AM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</row>
    <row r="226" spans="1:75" x14ac:dyDescent="0.2">
      <c r="A226" s="72"/>
      <c r="B226" s="72"/>
      <c r="C226" s="116"/>
      <c r="D226" s="116"/>
      <c r="E226" s="116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AM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</row>
    <row r="227" spans="1:75" x14ac:dyDescent="0.2">
      <c r="A227" s="72"/>
      <c r="B227" s="72"/>
      <c r="C227" s="116"/>
      <c r="D227" s="116"/>
      <c r="E227" s="116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AM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</row>
    <row r="228" spans="1:75" x14ac:dyDescent="0.2">
      <c r="A228" s="72"/>
      <c r="B228" s="72"/>
      <c r="C228" s="116"/>
      <c r="D228" s="116"/>
      <c r="E228" s="116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AM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</row>
    <row r="229" spans="1:75" x14ac:dyDescent="0.2">
      <c r="A229" s="72"/>
      <c r="B229" s="72"/>
      <c r="C229" s="116"/>
      <c r="D229" s="116"/>
      <c r="E229" s="116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AM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</row>
  </sheetData>
  <mergeCells count="11">
    <mergeCell ref="D13:E13"/>
    <mergeCell ref="H13:I13"/>
    <mergeCell ref="D16:D19"/>
    <mergeCell ref="D34:D37"/>
    <mergeCell ref="D40:M40"/>
    <mergeCell ref="H12:I12"/>
    <mergeCell ref="H7:I7"/>
    <mergeCell ref="H8:I8"/>
    <mergeCell ref="H9:I9"/>
    <mergeCell ref="H10:I10"/>
    <mergeCell ref="H11:I11"/>
  </mergeCells>
  <conditionalFormatting sqref="F8">
    <cfRule type="iconSet" priority="5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Z13:Z14 X13:X14 AB13:AB14 AD13:AD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 altText="Drop down that gives the user options to select various trends">
                <anchor>
                  <from>
                    <xdr:col>3</xdr:col>
                    <xdr:colOff>257175</xdr:colOff>
                    <xdr:row>7</xdr:row>
                    <xdr:rowOff>57150</xdr:rowOff>
                  </from>
                  <to>
                    <xdr:col>5</xdr:col>
                    <xdr:colOff>666750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 altText="Allows users to select various categories to display trend data">
                <anchor>
                  <from>
                    <xdr:col>3</xdr:col>
                    <xdr:colOff>257175</xdr:colOff>
                    <xdr:row>24</xdr:row>
                    <xdr:rowOff>0</xdr:rowOff>
                  </from>
                  <to>
                    <xdr:col>5</xdr:col>
                    <xdr:colOff>666750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45"/>
  <sheetViews>
    <sheetView zoomScaleNormal="100" workbookViewId="0">
      <pane ySplit="1" topLeftCell="A35" activePane="bottomLeft" state="frozen"/>
      <selection pane="bottomLeft" activeCell="H42" sqref="H42"/>
    </sheetView>
  </sheetViews>
  <sheetFormatPr defaultColWidth="11.5703125" defaultRowHeight="12" customHeight="1" x14ac:dyDescent="0.2"/>
  <cols>
    <col min="1" max="1" width="15.7109375" style="134" bestFit="1" customWidth="1"/>
    <col min="2" max="2" width="5.7109375" style="134" bestFit="1" customWidth="1"/>
    <col min="3" max="3" width="40.7109375" style="134" bestFit="1" customWidth="1"/>
    <col min="4" max="4" width="8.7109375" style="134" bestFit="1" customWidth="1"/>
    <col min="5" max="6" width="9.7109375" style="134" bestFit="1" customWidth="1"/>
    <col min="7" max="9" width="11.7109375" style="134" bestFit="1" customWidth="1"/>
    <col min="10" max="10" width="8.7109375" style="134" bestFit="1" customWidth="1"/>
    <col min="11" max="12" width="9.7109375" style="134" bestFit="1" customWidth="1"/>
    <col min="13" max="15" width="11.7109375" style="134" bestFit="1" customWidth="1"/>
    <col min="16" max="16" width="9.7109375" style="134" bestFit="1" customWidth="1"/>
    <col min="17" max="17" width="7.7109375" style="134" bestFit="1" customWidth="1"/>
    <col min="18" max="16384" width="11.5703125" style="134"/>
  </cols>
  <sheetData>
    <row r="1" spans="1:17" ht="160.9" customHeight="1" x14ac:dyDescent="0.25">
      <c r="A1" s="127" t="s">
        <v>131</v>
      </c>
      <c r="B1" s="128" t="s">
        <v>12</v>
      </c>
      <c r="C1" s="129" t="s">
        <v>132</v>
      </c>
      <c r="D1" s="130" t="s">
        <v>133</v>
      </c>
      <c r="E1" s="131" t="s">
        <v>134</v>
      </c>
      <c r="F1" s="132" t="s">
        <v>135</v>
      </c>
      <c r="G1" s="132" t="s">
        <v>136</v>
      </c>
      <c r="H1" s="132" t="s">
        <v>137</v>
      </c>
      <c r="I1" s="133" t="s">
        <v>138</v>
      </c>
      <c r="J1" s="130" t="s">
        <v>139</v>
      </c>
      <c r="K1" s="131" t="s">
        <v>140</v>
      </c>
      <c r="L1" s="132" t="s">
        <v>141</v>
      </c>
      <c r="M1" s="132" t="s">
        <v>142</v>
      </c>
      <c r="N1" s="132" t="s">
        <v>143</v>
      </c>
      <c r="O1" s="133" t="s">
        <v>144</v>
      </c>
      <c r="P1" s="130" t="s">
        <v>145</v>
      </c>
      <c r="Q1" s="130" t="s">
        <v>146</v>
      </c>
    </row>
    <row r="2" spans="1:17" ht="34.9" customHeight="1" x14ac:dyDescent="0.25">
      <c r="A2" s="135" t="s">
        <v>147</v>
      </c>
      <c r="B2" s="136">
        <v>1</v>
      </c>
      <c r="C2" s="135" t="s">
        <v>148</v>
      </c>
      <c r="D2" s="137">
        <v>0.71492721999999997</v>
      </c>
      <c r="E2" s="138">
        <v>0.27461940000000001</v>
      </c>
      <c r="F2" s="138">
        <v>0.44030783000000001</v>
      </c>
      <c r="G2" s="138">
        <v>0.14460914</v>
      </c>
      <c r="H2" s="138">
        <v>9.3984880000000007E-2</v>
      </c>
      <c r="I2" s="139">
        <v>4.6478749999999999E-2</v>
      </c>
      <c r="J2" s="140">
        <v>0.14046363000000001</v>
      </c>
      <c r="K2" s="141">
        <v>11342</v>
      </c>
      <c r="L2" s="142">
        <v>17694</v>
      </c>
      <c r="M2" s="142">
        <v>5578</v>
      </c>
      <c r="N2" s="142">
        <v>3602</v>
      </c>
      <c r="O2" s="142">
        <v>1734</v>
      </c>
      <c r="P2" s="143">
        <v>39950</v>
      </c>
      <c r="Q2" s="144" t="s">
        <v>149</v>
      </c>
    </row>
    <row r="3" spans="1:17" ht="34.9" customHeight="1" x14ac:dyDescent="0.25">
      <c r="A3" s="135" t="s">
        <v>147</v>
      </c>
      <c r="B3" s="136">
        <v>2</v>
      </c>
      <c r="C3" s="135" t="s">
        <v>18</v>
      </c>
      <c r="D3" s="137">
        <v>0.66524070000000002</v>
      </c>
      <c r="E3" s="138">
        <v>0.27536648000000002</v>
      </c>
      <c r="F3" s="138">
        <v>0.38987421999999999</v>
      </c>
      <c r="G3" s="138">
        <v>0.16421817</v>
      </c>
      <c r="H3" s="138">
        <v>0.11367594</v>
      </c>
      <c r="I3" s="139">
        <v>5.6865190000000003E-2</v>
      </c>
      <c r="J3" s="140">
        <v>0.17054113000000001</v>
      </c>
      <c r="K3" s="141">
        <v>11320</v>
      </c>
      <c r="L3" s="142">
        <v>15535</v>
      </c>
      <c r="M3" s="142">
        <v>6328</v>
      </c>
      <c r="N3" s="142">
        <v>4362</v>
      </c>
      <c r="O3" s="142">
        <v>2141</v>
      </c>
      <c r="P3" s="143">
        <v>39686</v>
      </c>
      <c r="Q3" s="144" t="s">
        <v>149</v>
      </c>
    </row>
    <row r="4" spans="1:17" ht="34.9" customHeight="1" x14ac:dyDescent="0.25">
      <c r="A4" s="135" t="s">
        <v>147</v>
      </c>
      <c r="B4" s="136">
        <v>3</v>
      </c>
      <c r="C4" s="135" t="s">
        <v>20</v>
      </c>
      <c r="D4" s="137">
        <v>0.76259964000000002</v>
      </c>
      <c r="E4" s="138">
        <v>0.32495449999999998</v>
      </c>
      <c r="F4" s="138">
        <v>0.43764513999999999</v>
      </c>
      <c r="G4" s="138">
        <v>0.13240640000000001</v>
      </c>
      <c r="H4" s="138">
        <v>6.5447019999999995E-2</v>
      </c>
      <c r="I4" s="139">
        <v>3.9546940000000003E-2</v>
      </c>
      <c r="J4" s="140">
        <v>0.10499396</v>
      </c>
      <c r="K4" s="141">
        <v>13211</v>
      </c>
      <c r="L4" s="142">
        <v>17439</v>
      </c>
      <c r="M4" s="142">
        <v>5117</v>
      </c>
      <c r="N4" s="142">
        <v>2533</v>
      </c>
      <c r="O4" s="142">
        <v>1488</v>
      </c>
      <c r="P4" s="143">
        <v>39788</v>
      </c>
      <c r="Q4" s="144" t="s">
        <v>149</v>
      </c>
    </row>
    <row r="5" spans="1:17" ht="34.9" customHeight="1" x14ac:dyDescent="0.25">
      <c r="A5" s="135" t="s">
        <v>147</v>
      </c>
      <c r="B5" s="136">
        <v>4</v>
      </c>
      <c r="C5" s="135" t="s">
        <v>24</v>
      </c>
      <c r="D5" s="137">
        <v>0.85632249999999999</v>
      </c>
      <c r="E5" s="138">
        <v>0.37367521999999997</v>
      </c>
      <c r="F5" s="138">
        <v>0.48264729000000001</v>
      </c>
      <c r="G5" s="138">
        <v>7.9330810000000002E-2</v>
      </c>
      <c r="H5" s="138">
        <v>4.1268050000000001E-2</v>
      </c>
      <c r="I5" s="139">
        <v>2.3078640000000001E-2</v>
      </c>
      <c r="J5" s="140">
        <v>6.4346689999999998E-2</v>
      </c>
      <c r="K5" s="141">
        <v>15125</v>
      </c>
      <c r="L5" s="142">
        <v>19338</v>
      </c>
      <c r="M5" s="142">
        <v>3150</v>
      </c>
      <c r="N5" s="142">
        <v>1644</v>
      </c>
      <c r="O5" s="142">
        <v>888</v>
      </c>
      <c r="P5" s="143">
        <v>40145</v>
      </c>
      <c r="Q5" s="144" t="s">
        <v>149</v>
      </c>
    </row>
    <row r="6" spans="1:17" ht="34.9" customHeight="1" x14ac:dyDescent="0.25">
      <c r="A6" s="135" t="s">
        <v>147</v>
      </c>
      <c r="B6" s="136">
        <v>5</v>
      </c>
      <c r="C6" s="135" t="s">
        <v>150</v>
      </c>
      <c r="D6" s="137">
        <v>0.66856968000000006</v>
      </c>
      <c r="E6" s="138">
        <v>0.18037138</v>
      </c>
      <c r="F6" s="138">
        <v>0.48819829999999997</v>
      </c>
      <c r="G6" s="138">
        <v>0.12847239999999999</v>
      </c>
      <c r="H6" s="138">
        <v>0.11940903999999999</v>
      </c>
      <c r="I6" s="139">
        <v>8.3548880000000006E-2</v>
      </c>
      <c r="J6" s="140">
        <v>0.20295792000000001</v>
      </c>
      <c r="K6" s="141">
        <v>7182</v>
      </c>
      <c r="L6" s="142">
        <v>19504</v>
      </c>
      <c r="M6" s="142">
        <v>5097</v>
      </c>
      <c r="N6" s="142">
        <v>4818</v>
      </c>
      <c r="O6" s="142">
        <v>3270</v>
      </c>
      <c r="P6" s="143">
        <v>39871</v>
      </c>
      <c r="Q6" s="144">
        <v>60</v>
      </c>
    </row>
    <row r="7" spans="1:17" ht="34.9" customHeight="1" x14ac:dyDescent="0.25">
      <c r="A7" s="135" t="s">
        <v>147</v>
      </c>
      <c r="B7" s="136">
        <v>6</v>
      </c>
      <c r="C7" s="135" t="s">
        <v>151</v>
      </c>
      <c r="D7" s="137">
        <v>0.66634636999999997</v>
      </c>
      <c r="E7" s="138">
        <v>0.22081859000000001</v>
      </c>
      <c r="F7" s="138">
        <v>0.44552777999999998</v>
      </c>
      <c r="G7" s="138">
        <v>0.15845698</v>
      </c>
      <c r="H7" s="138">
        <v>0.10788166</v>
      </c>
      <c r="I7" s="139">
        <v>6.7314990000000005E-2</v>
      </c>
      <c r="J7" s="140">
        <v>0.17519665000000001</v>
      </c>
      <c r="K7" s="141">
        <v>8894</v>
      </c>
      <c r="L7" s="142">
        <v>17722</v>
      </c>
      <c r="M7" s="142">
        <v>6071</v>
      </c>
      <c r="N7" s="142">
        <v>4162</v>
      </c>
      <c r="O7" s="142">
        <v>2533</v>
      </c>
      <c r="P7" s="143">
        <v>39382</v>
      </c>
      <c r="Q7" s="144">
        <v>107</v>
      </c>
    </row>
    <row r="8" spans="1:17" ht="34.9" customHeight="1" x14ac:dyDescent="0.25">
      <c r="A8" s="135" t="s">
        <v>147</v>
      </c>
      <c r="B8" s="136">
        <v>7</v>
      </c>
      <c r="C8" s="135" t="s">
        <v>152</v>
      </c>
      <c r="D8" s="137">
        <v>0.87614325999999998</v>
      </c>
      <c r="E8" s="138">
        <v>0.35283729000000003</v>
      </c>
      <c r="F8" s="138">
        <v>0.52330597999999995</v>
      </c>
      <c r="G8" s="138">
        <v>7.841426E-2</v>
      </c>
      <c r="H8" s="138">
        <v>2.695941E-2</v>
      </c>
      <c r="I8" s="139">
        <v>1.8483070000000001E-2</v>
      </c>
      <c r="J8" s="140">
        <v>4.544248E-2</v>
      </c>
      <c r="K8" s="141">
        <v>14331</v>
      </c>
      <c r="L8" s="142">
        <v>20765</v>
      </c>
      <c r="M8" s="142">
        <v>3035</v>
      </c>
      <c r="N8" s="142">
        <v>1058</v>
      </c>
      <c r="O8" s="142">
        <v>702</v>
      </c>
      <c r="P8" s="143">
        <v>39891</v>
      </c>
      <c r="Q8" s="144">
        <v>118</v>
      </c>
    </row>
    <row r="9" spans="1:17" ht="52.9" customHeight="1" x14ac:dyDescent="0.25">
      <c r="A9" s="135" t="s">
        <v>147</v>
      </c>
      <c r="B9" s="136">
        <v>8</v>
      </c>
      <c r="C9" s="135" t="s">
        <v>153</v>
      </c>
      <c r="D9" s="137">
        <v>0.72303273000000001</v>
      </c>
      <c r="E9" s="138">
        <v>0.33860459999999998</v>
      </c>
      <c r="F9" s="138">
        <v>0.38442812999999998</v>
      </c>
      <c r="G9" s="138">
        <v>0.15749521999999999</v>
      </c>
      <c r="H9" s="138">
        <v>6.0591579999999999E-2</v>
      </c>
      <c r="I9" s="139">
        <v>5.8880469999999997E-2</v>
      </c>
      <c r="J9" s="140">
        <v>0.11947205</v>
      </c>
      <c r="K9" s="141">
        <v>13602</v>
      </c>
      <c r="L9" s="142">
        <v>14834</v>
      </c>
      <c r="M9" s="142">
        <v>5862</v>
      </c>
      <c r="N9" s="142">
        <v>2278</v>
      </c>
      <c r="O9" s="142">
        <v>2166</v>
      </c>
      <c r="P9" s="143">
        <v>38742</v>
      </c>
      <c r="Q9" s="144">
        <v>1455</v>
      </c>
    </row>
    <row r="10" spans="1:17" ht="34.9" customHeight="1" x14ac:dyDescent="0.25">
      <c r="A10" s="135" t="s">
        <v>147</v>
      </c>
      <c r="B10" s="136">
        <v>9</v>
      </c>
      <c r="C10" s="135" t="s">
        <v>154</v>
      </c>
      <c r="D10" s="137">
        <v>0.86063440000000002</v>
      </c>
      <c r="E10" s="138">
        <v>0.45536333000000001</v>
      </c>
      <c r="F10" s="138">
        <v>0.40527108000000001</v>
      </c>
      <c r="G10" s="138">
        <v>7.784452E-2</v>
      </c>
      <c r="H10" s="138">
        <v>4.3243810000000001E-2</v>
      </c>
      <c r="I10" s="139">
        <v>1.8277270000000002E-2</v>
      </c>
      <c r="J10" s="140">
        <v>6.1521079999999999E-2</v>
      </c>
      <c r="K10" s="141">
        <v>18697</v>
      </c>
      <c r="L10" s="142">
        <v>16201</v>
      </c>
      <c r="M10" s="142">
        <v>2992</v>
      </c>
      <c r="N10" s="142">
        <v>1678</v>
      </c>
      <c r="O10" s="142">
        <v>697</v>
      </c>
      <c r="P10" s="143">
        <v>40265</v>
      </c>
      <c r="Q10" s="144" t="s">
        <v>149</v>
      </c>
    </row>
    <row r="11" spans="1:17" ht="52.9" customHeight="1" x14ac:dyDescent="0.25">
      <c r="A11" s="135" t="s">
        <v>147</v>
      </c>
      <c r="B11" s="136">
        <v>10</v>
      </c>
      <c r="C11" s="135" t="s">
        <v>42</v>
      </c>
      <c r="D11" s="137">
        <v>0.47481763999999999</v>
      </c>
      <c r="E11" s="138">
        <v>0.15550737000000001</v>
      </c>
      <c r="F11" s="138">
        <v>0.31931027000000001</v>
      </c>
      <c r="G11" s="138">
        <v>0.29349199999999998</v>
      </c>
      <c r="H11" s="138">
        <v>0.12767956999999999</v>
      </c>
      <c r="I11" s="139">
        <v>0.1040108</v>
      </c>
      <c r="J11" s="140">
        <v>0.23169037000000001</v>
      </c>
      <c r="K11" s="141">
        <v>4938</v>
      </c>
      <c r="L11" s="142">
        <v>10138</v>
      </c>
      <c r="M11" s="142">
        <v>9000</v>
      </c>
      <c r="N11" s="142">
        <v>3961</v>
      </c>
      <c r="O11" s="142">
        <v>3118</v>
      </c>
      <c r="P11" s="143">
        <v>31155</v>
      </c>
      <c r="Q11" s="144">
        <v>9116</v>
      </c>
    </row>
    <row r="12" spans="1:17" ht="52.9" customHeight="1" x14ac:dyDescent="0.25">
      <c r="A12" s="135" t="s">
        <v>147</v>
      </c>
      <c r="B12" s="136">
        <v>12</v>
      </c>
      <c r="C12" s="135" t="s">
        <v>155</v>
      </c>
      <c r="D12" s="137">
        <v>0.54338779999999998</v>
      </c>
      <c r="E12" s="138">
        <v>0.16883038</v>
      </c>
      <c r="F12" s="138">
        <v>0.37455743000000002</v>
      </c>
      <c r="G12" s="138">
        <v>0.25427042999999999</v>
      </c>
      <c r="H12" s="138">
        <v>0.12938583000000001</v>
      </c>
      <c r="I12" s="139">
        <v>7.2955930000000002E-2</v>
      </c>
      <c r="J12" s="140">
        <v>0.20234176000000001</v>
      </c>
      <c r="K12" s="141">
        <v>5964</v>
      </c>
      <c r="L12" s="142">
        <v>13247</v>
      </c>
      <c r="M12" s="142">
        <v>8638</v>
      </c>
      <c r="N12" s="142">
        <v>4446</v>
      </c>
      <c r="O12" s="142">
        <v>2419</v>
      </c>
      <c r="P12" s="143">
        <v>34714</v>
      </c>
      <c r="Q12" s="144">
        <v>5532</v>
      </c>
    </row>
    <row r="13" spans="1:17" ht="52.9" customHeight="1" x14ac:dyDescent="0.25">
      <c r="A13" s="135" t="s">
        <v>147</v>
      </c>
      <c r="B13" s="136">
        <v>13</v>
      </c>
      <c r="C13" s="135" t="s">
        <v>156</v>
      </c>
      <c r="D13" s="137">
        <v>0.82177913000000002</v>
      </c>
      <c r="E13" s="138">
        <v>0.31801120999999999</v>
      </c>
      <c r="F13" s="138">
        <v>0.50376792000000004</v>
      </c>
      <c r="G13" s="138">
        <v>0.10265836</v>
      </c>
      <c r="H13" s="138">
        <v>5.1796660000000001E-2</v>
      </c>
      <c r="I13" s="139">
        <v>2.3765850000000002E-2</v>
      </c>
      <c r="J13" s="140">
        <v>7.5562519999999994E-2</v>
      </c>
      <c r="K13" s="141">
        <v>12888</v>
      </c>
      <c r="L13" s="142">
        <v>19897</v>
      </c>
      <c r="M13" s="142">
        <v>3914</v>
      </c>
      <c r="N13" s="142">
        <v>2000</v>
      </c>
      <c r="O13" s="142">
        <v>892</v>
      </c>
      <c r="P13" s="143">
        <v>39591</v>
      </c>
      <c r="Q13" s="144">
        <v>674</v>
      </c>
    </row>
    <row r="14" spans="1:17" ht="34.9" customHeight="1" x14ac:dyDescent="0.25">
      <c r="A14" s="135" t="s">
        <v>147</v>
      </c>
      <c r="B14" s="136">
        <v>14</v>
      </c>
      <c r="C14" s="135" t="s">
        <v>45</v>
      </c>
      <c r="D14" s="137">
        <v>0.65885890999999996</v>
      </c>
      <c r="E14" s="138">
        <v>0.22334639000000001</v>
      </c>
      <c r="F14" s="138">
        <v>0.43551252000000001</v>
      </c>
      <c r="G14" s="138">
        <v>0.16995684999999999</v>
      </c>
      <c r="H14" s="138">
        <v>0.11155635</v>
      </c>
      <c r="I14" s="139">
        <v>5.9627890000000003E-2</v>
      </c>
      <c r="J14" s="140">
        <v>0.17118423999999999</v>
      </c>
      <c r="K14" s="141">
        <v>9005</v>
      </c>
      <c r="L14" s="142">
        <v>17219</v>
      </c>
      <c r="M14" s="142">
        <v>6379</v>
      </c>
      <c r="N14" s="142">
        <v>4213</v>
      </c>
      <c r="O14" s="142">
        <v>2191</v>
      </c>
      <c r="P14" s="143">
        <v>39007</v>
      </c>
      <c r="Q14" s="144">
        <v>1052</v>
      </c>
    </row>
    <row r="15" spans="1:17" ht="34.9" customHeight="1" x14ac:dyDescent="0.25">
      <c r="A15" s="135" t="s">
        <v>147</v>
      </c>
      <c r="B15" s="136">
        <v>15</v>
      </c>
      <c r="C15" s="135" t="s">
        <v>46</v>
      </c>
      <c r="D15" s="137">
        <v>0.77218871</v>
      </c>
      <c r="E15" s="138">
        <v>0.34814338</v>
      </c>
      <c r="F15" s="138">
        <v>0.42404533</v>
      </c>
      <c r="G15" s="138">
        <v>0.1131009</v>
      </c>
      <c r="H15" s="138">
        <v>6.4770330000000001E-2</v>
      </c>
      <c r="I15" s="139">
        <v>4.9940060000000001E-2</v>
      </c>
      <c r="J15" s="140">
        <v>0.11471039</v>
      </c>
      <c r="K15" s="141">
        <v>14330</v>
      </c>
      <c r="L15" s="142">
        <v>16714</v>
      </c>
      <c r="M15" s="142">
        <v>4232</v>
      </c>
      <c r="N15" s="142">
        <v>2406</v>
      </c>
      <c r="O15" s="142">
        <v>1797</v>
      </c>
      <c r="P15" s="143">
        <v>39479</v>
      </c>
      <c r="Q15" s="144">
        <v>592</v>
      </c>
    </row>
    <row r="16" spans="1:17" ht="34.9" customHeight="1" x14ac:dyDescent="0.25">
      <c r="A16" s="135" t="s">
        <v>147</v>
      </c>
      <c r="B16" s="136">
        <v>16</v>
      </c>
      <c r="C16" s="135" t="s">
        <v>47</v>
      </c>
      <c r="D16" s="137">
        <v>0.79397952999999999</v>
      </c>
      <c r="E16" s="138">
        <v>0.29109428999999998</v>
      </c>
      <c r="F16" s="138">
        <v>0.50288524000000001</v>
      </c>
      <c r="G16" s="138">
        <v>0.14279310000000001</v>
      </c>
      <c r="H16" s="138">
        <v>4.0310110000000003E-2</v>
      </c>
      <c r="I16" s="139">
        <v>2.2917259999999998E-2</v>
      </c>
      <c r="J16" s="140">
        <v>6.3227370000000005E-2</v>
      </c>
      <c r="K16" s="141">
        <v>11840</v>
      </c>
      <c r="L16" s="142">
        <v>19632</v>
      </c>
      <c r="M16" s="142">
        <v>5315</v>
      </c>
      <c r="N16" s="142">
        <v>1521</v>
      </c>
      <c r="O16" s="142">
        <v>836</v>
      </c>
      <c r="P16" s="143">
        <v>39144</v>
      </c>
      <c r="Q16" s="144">
        <v>970</v>
      </c>
    </row>
    <row r="17" spans="1:17" ht="34.9" customHeight="1" x14ac:dyDescent="0.25">
      <c r="A17" s="135" t="s">
        <v>147</v>
      </c>
      <c r="B17" s="136">
        <v>17</v>
      </c>
      <c r="C17" s="135" t="s">
        <v>157</v>
      </c>
      <c r="D17" s="137">
        <v>0.74276112000000005</v>
      </c>
      <c r="E17" s="138">
        <v>0.30817180999999999</v>
      </c>
      <c r="F17" s="138">
        <v>0.43458931000000001</v>
      </c>
      <c r="G17" s="138">
        <v>0.15505342</v>
      </c>
      <c r="H17" s="138">
        <v>6.5525379999999994E-2</v>
      </c>
      <c r="I17" s="139">
        <v>3.6660079999999998E-2</v>
      </c>
      <c r="J17" s="140">
        <v>0.10218546000000001</v>
      </c>
      <c r="K17" s="141">
        <v>12844</v>
      </c>
      <c r="L17" s="142">
        <v>17412</v>
      </c>
      <c r="M17" s="142">
        <v>6027</v>
      </c>
      <c r="N17" s="142">
        <v>2565</v>
      </c>
      <c r="O17" s="142">
        <v>1401</v>
      </c>
      <c r="P17" s="143">
        <v>40249</v>
      </c>
      <c r="Q17" s="144" t="s">
        <v>149</v>
      </c>
    </row>
    <row r="18" spans="1:17" ht="52.9" customHeight="1" x14ac:dyDescent="0.25">
      <c r="A18" s="135" t="s">
        <v>147</v>
      </c>
      <c r="B18" s="136">
        <v>18</v>
      </c>
      <c r="C18" s="135" t="s">
        <v>158</v>
      </c>
      <c r="D18" s="137">
        <v>0.46861082999999998</v>
      </c>
      <c r="E18" s="138">
        <v>0.16549100999999999</v>
      </c>
      <c r="F18" s="138">
        <v>0.30311981999999998</v>
      </c>
      <c r="G18" s="138">
        <v>0.25787223999999997</v>
      </c>
      <c r="H18" s="138">
        <v>0.1493158</v>
      </c>
      <c r="I18" s="139">
        <v>0.12420113000000001</v>
      </c>
      <c r="J18" s="140">
        <v>0.27351692999999999</v>
      </c>
      <c r="K18" s="141">
        <v>6389</v>
      </c>
      <c r="L18" s="142">
        <v>11631</v>
      </c>
      <c r="M18" s="142">
        <v>9599</v>
      </c>
      <c r="N18" s="142">
        <v>5548</v>
      </c>
      <c r="O18" s="142">
        <v>4443</v>
      </c>
      <c r="P18" s="143">
        <v>37610</v>
      </c>
      <c r="Q18" s="144">
        <v>2663</v>
      </c>
    </row>
    <row r="19" spans="1:17" ht="34.9" customHeight="1" x14ac:dyDescent="0.25">
      <c r="A19" s="135" t="s">
        <v>147</v>
      </c>
      <c r="B19" s="136">
        <v>19</v>
      </c>
      <c r="C19" s="135" t="s">
        <v>50</v>
      </c>
      <c r="D19" s="137">
        <v>0.87988825999999998</v>
      </c>
      <c r="E19" s="138">
        <v>0.56235400000000002</v>
      </c>
      <c r="F19" s="138">
        <v>0.31753426000000001</v>
      </c>
      <c r="G19" s="138">
        <v>6.3212729999999995E-2</v>
      </c>
      <c r="H19" s="138">
        <v>2.7807120000000001E-2</v>
      </c>
      <c r="I19" s="139">
        <v>2.90919E-2</v>
      </c>
      <c r="J19" s="140">
        <v>5.6899020000000002E-2</v>
      </c>
      <c r="K19" s="141">
        <v>22865</v>
      </c>
      <c r="L19" s="142">
        <v>12515</v>
      </c>
      <c r="M19" s="142">
        <v>2413</v>
      </c>
      <c r="N19" s="142">
        <v>1073</v>
      </c>
      <c r="O19" s="142">
        <v>1078</v>
      </c>
      <c r="P19" s="143">
        <v>39944</v>
      </c>
      <c r="Q19" s="144">
        <v>275</v>
      </c>
    </row>
    <row r="20" spans="1:17" ht="52.9" customHeight="1" x14ac:dyDescent="0.25">
      <c r="A20" s="135" t="s">
        <v>147</v>
      </c>
      <c r="B20" s="136">
        <v>20</v>
      </c>
      <c r="C20" s="135" t="s">
        <v>51</v>
      </c>
      <c r="D20" s="137">
        <v>0.83029359000000003</v>
      </c>
      <c r="E20" s="138">
        <v>0.50822844</v>
      </c>
      <c r="F20" s="138">
        <v>0.32206515000000002</v>
      </c>
      <c r="G20" s="138">
        <v>0.11842632</v>
      </c>
      <c r="H20" s="138">
        <v>2.395827E-2</v>
      </c>
      <c r="I20" s="139">
        <v>2.732182E-2</v>
      </c>
      <c r="J20" s="140">
        <v>5.128009E-2</v>
      </c>
      <c r="K20" s="141">
        <v>19483</v>
      </c>
      <c r="L20" s="142">
        <v>12011</v>
      </c>
      <c r="M20" s="142">
        <v>4289</v>
      </c>
      <c r="N20" s="142">
        <v>867</v>
      </c>
      <c r="O20" s="142">
        <v>945</v>
      </c>
      <c r="P20" s="143">
        <v>37595</v>
      </c>
      <c r="Q20" s="144">
        <v>2563</v>
      </c>
    </row>
    <row r="21" spans="1:17" ht="34.9" customHeight="1" x14ac:dyDescent="0.25">
      <c r="A21" s="135" t="s">
        <v>147</v>
      </c>
      <c r="B21" s="136">
        <v>21</v>
      </c>
      <c r="C21" s="135" t="s">
        <v>52</v>
      </c>
      <c r="D21" s="137">
        <v>0.81092218000000005</v>
      </c>
      <c r="E21" s="138">
        <v>0.47386095</v>
      </c>
      <c r="F21" s="138">
        <v>0.33706122999999999</v>
      </c>
      <c r="G21" s="138">
        <v>0.10525714999999999</v>
      </c>
      <c r="H21" s="138">
        <v>4.4667890000000002E-2</v>
      </c>
      <c r="I21" s="139">
        <v>3.915279E-2</v>
      </c>
      <c r="J21" s="140">
        <v>8.3820679999999995E-2</v>
      </c>
      <c r="K21" s="141">
        <v>19171</v>
      </c>
      <c r="L21" s="142">
        <v>13273</v>
      </c>
      <c r="M21" s="142">
        <v>3982</v>
      </c>
      <c r="N21" s="142">
        <v>1678</v>
      </c>
      <c r="O21" s="142">
        <v>1446</v>
      </c>
      <c r="P21" s="143">
        <v>39550</v>
      </c>
      <c r="Q21" s="144">
        <v>628</v>
      </c>
    </row>
    <row r="22" spans="1:17" ht="34.9" customHeight="1" x14ac:dyDescent="0.25">
      <c r="A22" s="135" t="s">
        <v>147</v>
      </c>
      <c r="B22" s="136">
        <v>22</v>
      </c>
      <c r="C22" s="135" t="s">
        <v>53</v>
      </c>
      <c r="D22" s="137">
        <v>0.84688465999999996</v>
      </c>
      <c r="E22" s="138">
        <v>0.51811293000000003</v>
      </c>
      <c r="F22" s="138">
        <v>0.32877172999999998</v>
      </c>
      <c r="G22" s="138">
        <v>7.9419669999999998E-2</v>
      </c>
      <c r="H22" s="138">
        <v>4.5286109999999997E-2</v>
      </c>
      <c r="I22" s="139">
        <v>2.840956E-2</v>
      </c>
      <c r="J22" s="140">
        <v>7.3695670000000005E-2</v>
      </c>
      <c r="K22" s="141">
        <v>21173</v>
      </c>
      <c r="L22" s="142">
        <v>13078</v>
      </c>
      <c r="M22" s="142">
        <v>3069</v>
      </c>
      <c r="N22" s="142">
        <v>1762</v>
      </c>
      <c r="O22" s="142">
        <v>1088</v>
      </c>
      <c r="P22" s="143">
        <v>40170</v>
      </c>
      <c r="Q22" s="144" t="s">
        <v>149</v>
      </c>
    </row>
    <row r="23" spans="1:17" ht="34.9" customHeight="1" x14ac:dyDescent="0.25">
      <c r="A23" s="135" t="s">
        <v>147</v>
      </c>
      <c r="B23" s="136">
        <v>23</v>
      </c>
      <c r="C23" s="135" t="s">
        <v>54</v>
      </c>
      <c r="D23" s="137">
        <v>0.87890122000000004</v>
      </c>
      <c r="E23" s="138">
        <v>0.57257429000000004</v>
      </c>
      <c r="F23" s="138">
        <v>0.30632693</v>
      </c>
      <c r="G23" s="138">
        <v>6.5420839999999994E-2</v>
      </c>
      <c r="H23" s="138">
        <v>3.107654E-2</v>
      </c>
      <c r="I23" s="139">
        <v>2.4601399999999999E-2</v>
      </c>
      <c r="J23" s="140">
        <v>5.5677940000000002E-2</v>
      </c>
      <c r="K23" s="141">
        <v>23366</v>
      </c>
      <c r="L23" s="142">
        <v>12100</v>
      </c>
      <c r="M23" s="142">
        <v>2534</v>
      </c>
      <c r="N23" s="142">
        <v>1203</v>
      </c>
      <c r="O23" s="142">
        <v>950</v>
      </c>
      <c r="P23" s="143">
        <v>40153</v>
      </c>
      <c r="Q23" s="144" t="s">
        <v>149</v>
      </c>
    </row>
    <row r="24" spans="1:17" ht="34.9" customHeight="1" x14ac:dyDescent="0.25">
      <c r="A24" s="135" t="s">
        <v>147</v>
      </c>
      <c r="B24" s="136">
        <v>24</v>
      </c>
      <c r="C24" s="135" t="s">
        <v>55</v>
      </c>
      <c r="D24" s="137">
        <v>0.78887746999999997</v>
      </c>
      <c r="E24" s="138">
        <v>0.50305230000000001</v>
      </c>
      <c r="F24" s="138">
        <v>0.28582518000000001</v>
      </c>
      <c r="G24" s="138">
        <v>0.11510914</v>
      </c>
      <c r="H24" s="138">
        <v>5.3186909999999997E-2</v>
      </c>
      <c r="I24" s="139">
        <v>4.2826469999999998E-2</v>
      </c>
      <c r="J24" s="140">
        <v>9.6013379999999995E-2</v>
      </c>
      <c r="K24" s="141">
        <v>20586</v>
      </c>
      <c r="L24" s="142">
        <v>11406</v>
      </c>
      <c r="M24" s="142">
        <v>4451</v>
      </c>
      <c r="N24" s="142">
        <v>2076</v>
      </c>
      <c r="O24" s="142">
        <v>1640</v>
      </c>
      <c r="P24" s="143">
        <v>40159</v>
      </c>
      <c r="Q24" s="144" t="s">
        <v>149</v>
      </c>
    </row>
    <row r="25" spans="1:17" ht="52.9" customHeight="1" x14ac:dyDescent="0.25">
      <c r="A25" s="135" t="s">
        <v>159</v>
      </c>
      <c r="B25" s="136">
        <v>25</v>
      </c>
      <c r="C25" s="135" t="s">
        <v>56</v>
      </c>
      <c r="D25" s="137">
        <v>0.82382869999999997</v>
      </c>
      <c r="E25" s="138">
        <v>0.55735497000000001</v>
      </c>
      <c r="F25" s="138">
        <v>0.26647373000000002</v>
      </c>
      <c r="G25" s="138">
        <v>0.11354328</v>
      </c>
      <c r="H25" s="138">
        <v>3.5170340000000001E-2</v>
      </c>
      <c r="I25" s="139">
        <v>2.745769E-2</v>
      </c>
      <c r="J25" s="140">
        <v>6.2628030000000001E-2</v>
      </c>
      <c r="K25" s="141">
        <v>22706</v>
      </c>
      <c r="L25" s="142">
        <v>10671</v>
      </c>
      <c r="M25" s="142">
        <v>4430</v>
      </c>
      <c r="N25" s="142">
        <v>1364</v>
      </c>
      <c r="O25" s="142">
        <v>1049</v>
      </c>
      <c r="P25" s="143">
        <v>40220</v>
      </c>
      <c r="Q25" s="144" t="s">
        <v>149</v>
      </c>
    </row>
    <row r="26" spans="1:17" ht="52.9" customHeight="1" x14ac:dyDescent="0.25">
      <c r="A26" s="135" t="s">
        <v>147</v>
      </c>
      <c r="B26" s="136">
        <v>26</v>
      </c>
      <c r="C26" s="135" t="s">
        <v>57</v>
      </c>
      <c r="D26" s="137">
        <v>0.53656265999999997</v>
      </c>
      <c r="E26" s="138">
        <v>0.17975268</v>
      </c>
      <c r="F26" s="138">
        <v>0.35680998000000003</v>
      </c>
      <c r="G26" s="138">
        <v>0.23224031000000001</v>
      </c>
      <c r="H26" s="138">
        <v>0.13813512999999999</v>
      </c>
      <c r="I26" s="139">
        <v>9.3061900000000003E-2</v>
      </c>
      <c r="J26" s="140">
        <v>0.23119703</v>
      </c>
      <c r="K26" s="141">
        <v>7195</v>
      </c>
      <c r="L26" s="142">
        <v>14188</v>
      </c>
      <c r="M26" s="142">
        <v>8922</v>
      </c>
      <c r="N26" s="142">
        <v>5288</v>
      </c>
      <c r="O26" s="142">
        <v>3470</v>
      </c>
      <c r="P26" s="143">
        <v>39063</v>
      </c>
      <c r="Q26" s="144">
        <v>979</v>
      </c>
    </row>
    <row r="27" spans="1:17" ht="52.9" customHeight="1" x14ac:dyDescent="0.25">
      <c r="A27" s="135" t="s">
        <v>147</v>
      </c>
      <c r="B27" s="136">
        <v>27</v>
      </c>
      <c r="C27" s="135" t="s">
        <v>58</v>
      </c>
      <c r="D27" s="137">
        <v>0.62572408999999996</v>
      </c>
      <c r="E27" s="138">
        <v>0.24016143000000001</v>
      </c>
      <c r="F27" s="138">
        <v>0.38556267</v>
      </c>
      <c r="G27" s="138">
        <v>0.22785968000000001</v>
      </c>
      <c r="H27" s="138">
        <v>7.4076580000000003E-2</v>
      </c>
      <c r="I27" s="139">
        <v>7.2339639999999997E-2</v>
      </c>
      <c r="J27" s="140">
        <v>0.14641622000000001</v>
      </c>
      <c r="K27" s="141">
        <v>9211</v>
      </c>
      <c r="L27" s="142">
        <v>14397</v>
      </c>
      <c r="M27" s="142">
        <v>8201</v>
      </c>
      <c r="N27" s="142">
        <v>2657</v>
      </c>
      <c r="O27" s="142">
        <v>2548</v>
      </c>
      <c r="P27" s="143">
        <v>37014</v>
      </c>
      <c r="Q27" s="144">
        <v>2875</v>
      </c>
    </row>
    <row r="28" spans="1:17" ht="34.9" customHeight="1" x14ac:dyDescent="0.25">
      <c r="A28" s="135" t="s">
        <v>147</v>
      </c>
      <c r="B28" s="136">
        <v>28</v>
      </c>
      <c r="C28" s="135" t="s">
        <v>160</v>
      </c>
      <c r="D28" s="137">
        <v>0.75034087000000005</v>
      </c>
      <c r="E28" s="138">
        <v>0.25387427000000001</v>
      </c>
      <c r="F28" s="138">
        <v>0.49646659999999998</v>
      </c>
      <c r="G28" s="138">
        <v>0.14025420999999999</v>
      </c>
      <c r="H28" s="138">
        <v>6.3709879999999997E-2</v>
      </c>
      <c r="I28" s="139">
        <v>4.5695029999999998E-2</v>
      </c>
      <c r="J28" s="140">
        <v>0.10940490999999999</v>
      </c>
      <c r="K28" s="141">
        <v>10248</v>
      </c>
      <c r="L28" s="142">
        <v>19594</v>
      </c>
      <c r="M28" s="142">
        <v>5379</v>
      </c>
      <c r="N28" s="142">
        <v>2467</v>
      </c>
      <c r="O28" s="142">
        <v>1699</v>
      </c>
      <c r="P28" s="143">
        <v>39387</v>
      </c>
      <c r="Q28" s="144">
        <v>424</v>
      </c>
    </row>
    <row r="29" spans="1:17" ht="70.900000000000006" customHeight="1" x14ac:dyDescent="0.25">
      <c r="A29" s="135" t="s">
        <v>147</v>
      </c>
      <c r="B29" s="136">
        <v>29</v>
      </c>
      <c r="C29" s="135" t="s">
        <v>100</v>
      </c>
      <c r="D29" s="137">
        <v>0.65421501000000004</v>
      </c>
      <c r="E29" s="138">
        <v>0.23532286999999999</v>
      </c>
      <c r="F29" s="138">
        <v>0.41889214000000002</v>
      </c>
      <c r="G29" s="138">
        <v>0.17936837999999999</v>
      </c>
      <c r="H29" s="138">
        <v>9.8146849999999994E-2</v>
      </c>
      <c r="I29" s="139">
        <v>6.8269759999999999E-2</v>
      </c>
      <c r="J29" s="140">
        <v>0.16641660999999999</v>
      </c>
      <c r="K29" s="141">
        <v>9374</v>
      </c>
      <c r="L29" s="142">
        <v>16380</v>
      </c>
      <c r="M29" s="142">
        <v>6804</v>
      </c>
      <c r="N29" s="142">
        <v>3731</v>
      </c>
      <c r="O29" s="142">
        <v>2523</v>
      </c>
      <c r="P29" s="143">
        <v>38812</v>
      </c>
      <c r="Q29" s="144">
        <v>1215</v>
      </c>
    </row>
    <row r="30" spans="1:17" ht="52.9" customHeight="1" x14ac:dyDescent="0.25">
      <c r="A30" s="135" t="s">
        <v>159</v>
      </c>
      <c r="B30" s="136">
        <v>30</v>
      </c>
      <c r="C30" s="135" t="s">
        <v>60</v>
      </c>
      <c r="D30" s="137">
        <v>0.71703505999999995</v>
      </c>
      <c r="E30" s="138">
        <v>0.35290972999999998</v>
      </c>
      <c r="F30" s="138">
        <v>0.36412533000000002</v>
      </c>
      <c r="G30" s="138">
        <v>0.17639867000000001</v>
      </c>
      <c r="H30" s="138">
        <v>5.5499359999999998E-2</v>
      </c>
      <c r="I30" s="139">
        <v>5.106691E-2</v>
      </c>
      <c r="J30" s="140">
        <v>0.10656627</v>
      </c>
      <c r="K30" s="141">
        <v>13288</v>
      </c>
      <c r="L30" s="142">
        <v>13429</v>
      </c>
      <c r="M30" s="142">
        <v>6296</v>
      </c>
      <c r="N30" s="142">
        <v>1981</v>
      </c>
      <c r="O30" s="142">
        <v>1789</v>
      </c>
      <c r="P30" s="143">
        <v>36783</v>
      </c>
      <c r="Q30" s="144">
        <v>3203</v>
      </c>
    </row>
    <row r="31" spans="1:17" ht="34.9" customHeight="1" x14ac:dyDescent="0.25">
      <c r="A31" s="135" t="s">
        <v>147</v>
      </c>
      <c r="B31" s="136">
        <v>31</v>
      </c>
      <c r="C31" s="135" t="s">
        <v>61</v>
      </c>
      <c r="D31" s="137">
        <v>0.64351376999999998</v>
      </c>
      <c r="E31" s="138">
        <v>0.27002896999999998</v>
      </c>
      <c r="F31" s="138">
        <v>0.37348480000000001</v>
      </c>
      <c r="G31" s="138">
        <v>0.21685636</v>
      </c>
      <c r="H31" s="138">
        <v>7.9477950000000006E-2</v>
      </c>
      <c r="I31" s="139">
        <v>6.0151919999999998E-2</v>
      </c>
      <c r="J31" s="140">
        <v>0.13962986999999999</v>
      </c>
      <c r="K31" s="141">
        <v>10828</v>
      </c>
      <c r="L31" s="142">
        <v>14711</v>
      </c>
      <c r="M31" s="142">
        <v>8326</v>
      </c>
      <c r="N31" s="142">
        <v>3114</v>
      </c>
      <c r="O31" s="142">
        <v>2292</v>
      </c>
      <c r="P31" s="143">
        <v>39271</v>
      </c>
      <c r="Q31" s="144">
        <v>705</v>
      </c>
    </row>
    <row r="32" spans="1:17" ht="34.9" customHeight="1" x14ac:dyDescent="0.25">
      <c r="A32" s="135" t="s">
        <v>147</v>
      </c>
      <c r="B32" s="136">
        <v>32</v>
      </c>
      <c r="C32" s="135" t="s">
        <v>102</v>
      </c>
      <c r="D32" s="137">
        <v>0.70268357999999997</v>
      </c>
      <c r="E32" s="138">
        <v>0.31346505000000002</v>
      </c>
      <c r="F32" s="138">
        <v>0.38921853000000001</v>
      </c>
      <c r="G32" s="138">
        <v>0.19418901</v>
      </c>
      <c r="H32" s="138">
        <v>5.7396889999999999E-2</v>
      </c>
      <c r="I32" s="139">
        <v>4.5730519999999997E-2</v>
      </c>
      <c r="J32" s="140">
        <v>0.10312741</v>
      </c>
      <c r="K32" s="141">
        <v>11845</v>
      </c>
      <c r="L32" s="142">
        <v>14331</v>
      </c>
      <c r="M32" s="142">
        <v>6815</v>
      </c>
      <c r="N32" s="142">
        <v>2010</v>
      </c>
      <c r="O32" s="142">
        <v>1557</v>
      </c>
      <c r="P32" s="143">
        <v>36558</v>
      </c>
      <c r="Q32" s="144">
        <v>3388</v>
      </c>
    </row>
    <row r="33" spans="1:17" ht="52.9" customHeight="1" x14ac:dyDescent="0.25">
      <c r="A33" s="135" t="s">
        <v>161</v>
      </c>
      <c r="B33" s="136">
        <v>33</v>
      </c>
      <c r="C33" s="135" t="s">
        <v>162</v>
      </c>
      <c r="D33" s="137">
        <v>0.57024885999999997</v>
      </c>
      <c r="E33" s="138">
        <v>0.18446214999999999</v>
      </c>
      <c r="F33" s="138">
        <v>0.38578672000000003</v>
      </c>
      <c r="G33" s="138">
        <v>0.22820484999999999</v>
      </c>
      <c r="H33" s="138">
        <v>0.14588265</v>
      </c>
      <c r="I33" s="139">
        <v>5.566364E-2</v>
      </c>
      <c r="J33" s="140">
        <v>0.20154627999999999</v>
      </c>
      <c r="K33" s="141">
        <v>7582</v>
      </c>
      <c r="L33" s="142">
        <v>15546</v>
      </c>
      <c r="M33" s="142">
        <v>8832</v>
      </c>
      <c r="N33" s="142">
        <v>5646</v>
      </c>
      <c r="O33" s="142">
        <v>2109</v>
      </c>
      <c r="P33" s="143">
        <v>39715</v>
      </c>
      <c r="Q33" s="144" t="s">
        <v>149</v>
      </c>
    </row>
    <row r="34" spans="1:17" ht="70.900000000000006" customHeight="1" x14ac:dyDescent="0.25">
      <c r="A34" s="135" t="s">
        <v>161</v>
      </c>
      <c r="B34" s="136">
        <v>34</v>
      </c>
      <c r="C34" s="135" t="s">
        <v>163</v>
      </c>
      <c r="D34" s="137">
        <v>0.63800962000000006</v>
      </c>
      <c r="E34" s="138">
        <v>0.20746476</v>
      </c>
      <c r="F34" s="138">
        <v>0.43054485999999997</v>
      </c>
      <c r="G34" s="138">
        <v>0.18657567</v>
      </c>
      <c r="H34" s="138">
        <v>0.12562598999999999</v>
      </c>
      <c r="I34" s="139">
        <v>4.9788720000000002E-2</v>
      </c>
      <c r="J34" s="140">
        <v>0.17541471</v>
      </c>
      <c r="K34" s="141">
        <v>8497</v>
      </c>
      <c r="L34" s="142">
        <v>17202</v>
      </c>
      <c r="M34" s="142">
        <v>7217</v>
      </c>
      <c r="N34" s="142">
        <v>4836</v>
      </c>
      <c r="O34" s="142">
        <v>1871</v>
      </c>
      <c r="P34" s="143">
        <v>39623</v>
      </c>
      <c r="Q34" s="144" t="s">
        <v>149</v>
      </c>
    </row>
    <row r="35" spans="1:17" ht="52.9" customHeight="1" x14ac:dyDescent="0.25">
      <c r="A35" s="135" t="s">
        <v>161</v>
      </c>
      <c r="B35" s="136">
        <v>35</v>
      </c>
      <c r="C35" s="135" t="s">
        <v>164</v>
      </c>
      <c r="D35" s="137">
        <v>0.63229040000000003</v>
      </c>
      <c r="E35" s="138">
        <v>0.23759304000000001</v>
      </c>
      <c r="F35" s="138">
        <v>0.39469735</v>
      </c>
      <c r="G35" s="138">
        <v>0.19477894000000001</v>
      </c>
      <c r="H35" s="138">
        <v>0.1136691</v>
      </c>
      <c r="I35" s="139">
        <v>5.9261559999999998E-2</v>
      </c>
      <c r="J35" s="140">
        <v>0.17293066000000001</v>
      </c>
      <c r="K35" s="141">
        <v>9665</v>
      </c>
      <c r="L35" s="142">
        <v>15748</v>
      </c>
      <c r="M35" s="142">
        <v>7485</v>
      </c>
      <c r="N35" s="142">
        <v>4392</v>
      </c>
      <c r="O35" s="142">
        <v>2230</v>
      </c>
      <c r="P35" s="143">
        <v>39520</v>
      </c>
      <c r="Q35" s="144" t="s">
        <v>149</v>
      </c>
    </row>
    <row r="36" spans="1:17" ht="52.9" customHeight="1" x14ac:dyDescent="0.25">
      <c r="A36" s="135" t="s">
        <v>161</v>
      </c>
      <c r="B36" s="136">
        <v>36</v>
      </c>
      <c r="C36" s="135" t="s">
        <v>165</v>
      </c>
      <c r="D36" s="137">
        <v>0.74862872999999996</v>
      </c>
      <c r="E36" s="138">
        <v>0.28257987000000001</v>
      </c>
      <c r="F36" s="138">
        <v>0.46604885000000001</v>
      </c>
      <c r="G36" s="138">
        <v>0.13900000000000001</v>
      </c>
      <c r="H36" s="138">
        <v>7.6325569999999995E-2</v>
      </c>
      <c r="I36" s="139">
        <v>3.6323229999999998E-2</v>
      </c>
      <c r="J36" s="140">
        <v>0.11264879999999999</v>
      </c>
      <c r="K36" s="141">
        <v>11424</v>
      </c>
      <c r="L36" s="142">
        <v>18397</v>
      </c>
      <c r="M36" s="142">
        <v>5340</v>
      </c>
      <c r="N36" s="142">
        <v>2961</v>
      </c>
      <c r="O36" s="142">
        <v>1369</v>
      </c>
      <c r="P36" s="143">
        <v>39491</v>
      </c>
      <c r="Q36" s="144" t="s">
        <v>149</v>
      </c>
    </row>
    <row r="37" spans="1:17" ht="52.9" customHeight="1" x14ac:dyDescent="0.25">
      <c r="A37" s="135" t="s">
        <v>161</v>
      </c>
      <c r="B37" s="136">
        <v>37</v>
      </c>
      <c r="C37" s="135" t="s">
        <v>65</v>
      </c>
      <c r="D37" s="137">
        <v>0.66752484000000001</v>
      </c>
      <c r="E37" s="138">
        <v>0.22850962</v>
      </c>
      <c r="F37" s="138">
        <v>0.43901521999999998</v>
      </c>
      <c r="G37" s="138">
        <v>0.14833352999999999</v>
      </c>
      <c r="H37" s="138">
        <v>0.12763479999999999</v>
      </c>
      <c r="I37" s="139">
        <v>5.6506830000000001E-2</v>
      </c>
      <c r="J37" s="140">
        <v>0.18414163</v>
      </c>
      <c r="K37" s="141">
        <v>9322</v>
      </c>
      <c r="L37" s="142">
        <v>17450</v>
      </c>
      <c r="M37" s="142">
        <v>5780</v>
      </c>
      <c r="N37" s="142">
        <v>4964</v>
      </c>
      <c r="O37" s="142">
        <v>2118</v>
      </c>
      <c r="P37" s="143">
        <v>39634</v>
      </c>
      <c r="Q37" s="144" t="s">
        <v>149</v>
      </c>
    </row>
    <row r="38" spans="1:17" ht="52.9" customHeight="1" x14ac:dyDescent="0.25">
      <c r="A38" s="135" t="s">
        <v>161</v>
      </c>
      <c r="B38" s="136">
        <v>38</v>
      </c>
      <c r="C38" s="135" t="s">
        <v>166</v>
      </c>
      <c r="D38" s="137">
        <v>0.69024450000000004</v>
      </c>
      <c r="E38" s="138">
        <v>0.22412269000000001</v>
      </c>
      <c r="F38" s="138">
        <v>0.46612181000000003</v>
      </c>
      <c r="G38" s="138">
        <v>0.17969567</v>
      </c>
      <c r="H38" s="138">
        <v>8.8091039999999995E-2</v>
      </c>
      <c r="I38" s="139">
        <v>4.1968789999999999E-2</v>
      </c>
      <c r="J38" s="140">
        <v>0.13005981999999999</v>
      </c>
      <c r="K38" s="141">
        <v>9227</v>
      </c>
      <c r="L38" s="142">
        <v>18624</v>
      </c>
      <c r="M38" s="142">
        <v>6888</v>
      </c>
      <c r="N38" s="142">
        <v>3417</v>
      </c>
      <c r="O38" s="142">
        <v>1577</v>
      </c>
      <c r="P38" s="143">
        <v>39733</v>
      </c>
      <c r="Q38" s="144" t="s">
        <v>149</v>
      </c>
    </row>
    <row r="40" spans="1:17" ht="16.149999999999999" customHeight="1" x14ac:dyDescent="0.2">
      <c r="A40" s="145" t="s">
        <v>167</v>
      </c>
    </row>
    <row r="41" spans="1:17" ht="16.149999999999999" customHeight="1" x14ac:dyDescent="0.2">
      <c r="A41" s="145" t="s">
        <v>168</v>
      </c>
    </row>
    <row r="42" spans="1:17" ht="16.149999999999999" customHeight="1" x14ac:dyDescent="0.2">
      <c r="A42" s="145" t="s">
        <v>169</v>
      </c>
    </row>
    <row r="43" spans="1:17" ht="16.149999999999999" customHeight="1" x14ac:dyDescent="0.2">
      <c r="A43" s="145" t="s">
        <v>170</v>
      </c>
    </row>
    <row r="44" spans="1:17" ht="16.149999999999999" customHeight="1" x14ac:dyDescent="0.2">
      <c r="A44" s="145" t="s">
        <v>171</v>
      </c>
    </row>
    <row r="45" spans="1:17" ht="16.149999999999999" customHeight="1" x14ac:dyDescent="0.2">
      <c r="A45" s="145" t="s">
        <v>172</v>
      </c>
    </row>
  </sheetData>
  <sheetProtection algorithmName="SHA-512" hashValue="rqkjIkevbM+vnQHTnktQ98Ku/fShFzzWBpuHAw5MVojFIE66osqDrL7rHa7Xb21cVrhGc/WBjMVcl65CB5KMjA==" saltValue="pao65O/vH47iUnopb2oaYg==" spinCount="100000" sheet="1" objects="1" scenarios="1"/>
  <pageMargins left="0.05" right="0.05" top="0.5" bottom="0.5" header="0" footer="0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5"/>
  <sheetViews>
    <sheetView zoomScaleNormal="100" workbookViewId="0">
      <selection activeCell="F16" sqref="F16"/>
    </sheetView>
  </sheetViews>
  <sheetFormatPr defaultColWidth="11.5703125" defaultRowHeight="12" customHeight="1" x14ac:dyDescent="0.2"/>
  <cols>
    <col min="1" max="2" width="2.7109375" style="134" bestFit="1" customWidth="1"/>
    <col min="3" max="3" width="75.7109375" style="134" bestFit="1" customWidth="1"/>
    <col min="4" max="7" width="10.7109375" style="134" bestFit="1" customWidth="1"/>
    <col min="8" max="16384" width="11.5703125" style="134"/>
  </cols>
  <sheetData>
    <row r="1" spans="1:7" ht="15" customHeight="1" x14ac:dyDescent="0.25">
      <c r="A1" s="208" t="s">
        <v>173</v>
      </c>
      <c r="B1" s="208"/>
      <c r="C1" s="208"/>
      <c r="D1" s="210">
        <v>2020</v>
      </c>
      <c r="E1" s="210"/>
      <c r="F1" s="211">
        <v>2019</v>
      </c>
      <c r="G1" s="211"/>
    </row>
    <row r="2" spans="1:7" ht="15" customHeight="1" x14ac:dyDescent="0.25">
      <c r="A2" s="209"/>
      <c r="B2" s="209"/>
      <c r="C2" s="209"/>
      <c r="D2" s="146" t="s">
        <v>174</v>
      </c>
      <c r="E2" s="146" t="s">
        <v>175</v>
      </c>
      <c r="F2" s="147" t="s">
        <v>174</v>
      </c>
      <c r="G2" s="146" t="s">
        <v>175</v>
      </c>
    </row>
    <row r="3" spans="1:7" ht="15" customHeight="1" x14ac:dyDescent="0.25">
      <c r="A3" s="148" t="s">
        <v>176</v>
      </c>
      <c r="B3" s="148" t="s">
        <v>176</v>
      </c>
      <c r="C3" s="148" t="s">
        <v>177</v>
      </c>
      <c r="D3" s="155">
        <v>6579</v>
      </c>
      <c r="E3" s="150">
        <v>0.25272287999999998</v>
      </c>
      <c r="F3" s="156">
        <v>6470</v>
      </c>
      <c r="G3" s="150">
        <v>0.22926933999999999</v>
      </c>
    </row>
    <row r="4" spans="1:7" ht="15" customHeight="1" x14ac:dyDescent="0.25">
      <c r="A4" s="148" t="s">
        <v>176</v>
      </c>
      <c r="B4" s="148" t="s">
        <v>176</v>
      </c>
      <c r="C4" s="148" t="s">
        <v>178</v>
      </c>
      <c r="D4" s="155">
        <v>10605</v>
      </c>
      <c r="E4" s="150">
        <v>0.40961250999999999</v>
      </c>
      <c r="F4" s="156">
        <v>13572</v>
      </c>
      <c r="G4" s="150">
        <v>0.48750722000000002</v>
      </c>
    </row>
    <row r="5" spans="1:7" ht="15" customHeight="1" x14ac:dyDescent="0.25">
      <c r="A5" s="148" t="s">
        <v>176</v>
      </c>
      <c r="B5" s="148" t="s">
        <v>176</v>
      </c>
      <c r="C5" s="148" t="s">
        <v>179</v>
      </c>
      <c r="D5" s="155">
        <v>1955</v>
      </c>
      <c r="E5" s="150">
        <v>7.2551290000000004E-2</v>
      </c>
      <c r="F5" s="156">
        <v>1597</v>
      </c>
      <c r="G5" s="150">
        <v>5.5079459999999997E-2</v>
      </c>
    </row>
    <row r="6" spans="1:7" ht="15" customHeight="1" x14ac:dyDescent="0.25">
      <c r="A6" s="148" t="s">
        <v>176</v>
      </c>
      <c r="B6" s="148" t="s">
        <v>176</v>
      </c>
      <c r="C6" s="148" t="s">
        <v>180</v>
      </c>
      <c r="D6" s="149">
        <v>463</v>
      </c>
      <c r="E6" s="150">
        <v>1.6470930000000002E-2</v>
      </c>
      <c r="F6" s="151">
        <v>495</v>
      </c>
      <c r="G6" s="150">
        <v>1.7167410000000001E-2</v>
      </c>
    </row>
    <row r="7" spans="1:7" ht="15" customHeight="1" x14ac:dyDescent="0.25">
      <c r="A7" s="148" t="s">
        <v>176</v>
      </c>
      <c r="B7" s="148" t="s">
        <v>176</v>
      </c>
      <c r="C7" s="148" t="s">
        <v>181</v>
      </c>
      <c r="D7" s="155">
        <v>6566</v>
      </c>
      <c r="E7" s="150">
        <v>0.24864238999999999</v>
      </c>
      <c r="F7" s="156">
        <v>5908</v>
      </c>
      <c r="G7" s="150">
        <v>0.21097657</v>
      </c>
    </row>
    <row r="8" spans="1:7" ht="15" customHeight="1" x14ac:dyDescent="0.25">
      <c r="A8" s="148" t="s">
        <v>176</v>
      </c>
      <c r="B8" s="212" t="s">
        <v>182</v>
      </c>
      <c r="C8" s="212"/>
      <c r="D8" s="157">
        <v>26168</v>
      </c>
      <c r="E8" s="152">
        <v>1</v>
      </c>
      <c r="F8" s="158">
        <v>28042</v>
      </c>
      <c r="G8" s="152">
        <v>1</v>
      </c>
    </row>
    <row r="9" spans="1:7" ht="15" customHeight="1" x14ac:dyDescent="0.25">
      <c r="A9" s="148" t="s">
        <v>176</v>
      </c>
      <c r="B9" s="148" t="s">
        <v>176</v>
      </c>
      <c r="C9" s="148" t="s">
        <v>183</v>
      </c>
      <c r="D9" s="155">
        <v>14106</v>
      </c>
      <c r="E9" s="149" t="s">
        <v>184</v>
      </c>
      <c r="F9" s="156">
        <v>11960</v>
      </c>
      <c r="G9" s="149" t="s">
        <v>184</v>
      </c>
    </row>
    <row r="10" spans="1:7" ht="15" customHeight="1" x14ac:dyDescent="0.25">
      <c r="A10" s="148" t="s">
        <v>176</v>
      </c>
      <c r="B10" s="213" t="s">
        <v>185</v>
      </c>
      <c r="C10" s="213"/>
      <c r="D10" s="159">
        <v>40274</v>
      </c>
      <c r="E10" s="154">
        <v>1</v>
      </c>
      <c r="F10" s="160">
        <v>40002</v>
      </c>
      <c r="G10" s="154">
        <v>1</v>
      </c>
    </row>
    <row r="11" spans="1:7" ht="15" customHeight="1" x14ac:dyDescent="0.2"/>
    <row r="12" spans="1:7" ht="15" customHeight="1" x14ac:dyDescent="0.2">
      <c r="A12" s="145" t="s">
        <v>170</v>
      </c>
    </row>
    <row r="13" spans="1:7" ht="15" customHeight="1" x14ac:dyDescent="0.2">
      <c r="A13" s="145" t="s">
        <v>186</v>
      </c>
    </row>
    <row r="14" spans="1:7" ht="15" customHeight="1" x14ac:dyDescent="0.2">
      <c r="A14" s="145" t="s">
        <v>187</v>
      </c>
    </row>
    <row r="15" spans="1:7" ht="15" customHeight="1" x14ac:dyDescent="0.2">
      <c r="A15" s="145" t="s">
        <v>172</v>
      </c>
    </row>
  </sheetData>
  <sheetProtection algorithmName="SHA-512" hashValue="aSDxf70TI257hz07fzNbo8y695lp05C48y6VJ0ubTH+oYyztYOqjWIaiUbKAmXpIfQOL8rU86gU1bbw6E4zYgw==" saltValue="YvqPrAGN2s/VavyDIHd4WA==" spinCount="100000" sheet="1" objects="1" scenarios="1"/>
  <mergeCells count="5">
    <mergeCell ref="A1:C2"/>
    <mergeCell ref="D1:E1"/>
    <mergeCell ref="F1:G1"/>
    <mergeCell ref="B8:C8"/>
    <mergeCell ref="B10:C10"/>
  </mergeCells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304"/>
  <sheetViews>
    <sheetView zoomScaleNormal="100" workbookViewId="0">
      <pane ySplit="1" topLeftCell="A8" activePane="bottomLeft" state="frozen"/>
      <selection pane="bottomLeft" activeCell="D12" sqref="D12"/>
    </sheetView>
  </sheetViews>
  <sheetFormatPr defaultColWidth="11.5703125" defaultRowHeight="12" customHeight="1" x14ac:dyDescent="0.2"/>
  <cols>
    <col min="1" max="1" width="15.7109375" style="134" bestFit="1" customWidth="1"/>
    <col min="2" max="3" width="5.7109375" style="134" bestFit="1" customWidth="1"/>
    <col min="4" max="4" width="100.7109375" style="134" bestFit="1" customWidth="1"/>
    <col min="5" max="5" width="8.7109375" style="134" bestFit="1" customWidth="1"/>
    <col min="6" max="6" width="13.7109375" style="134" bestFit="1" customWidth="1"/>
    <col min="7" max="9" width="9.7109375" style="134" bestFit="1" customWidth="1"/>
    <col min="10" max="16384" width="11.5703125" style="134"/>
  </cols>
  <sheetData>
    <row r="1" spans="1:9" ht="160.9" customHeight="1" x14ac:dyDescent="0.25">
      <c r="A1" s="127" t="s">
        <v>131</v>
      </c>
      <c r="B1" s="127" t="s">
        <v>188</v>
      </c>
      <c r="C1" s="127" t="s">
        <v>12</v>
      </c>
      <c r="D1" s="127" t="s">
        <v>132</v>
      </c>
      <c r="E1" s="130" t="s">
        <v>133</v>
      </c>
      <c r="F1" s="130" t="s">
        <v>136</v>
      </c>
      <c r="G1" s="130" t="s">
        <v>139</v>
      </c>
      <c r="H1" s="130" t="s">
        <v>145</v>
      </c>
      <c r="I1" s="130" t="s">
        <v>146</v>
      </c>
    </row>
    <row r="2" spans="1:9" ht="16.899999999999999" customHeight="1" x14ac:dyDescent="0.25">
      <c r="A2" s="135" t="s">
        <v>147</v>
      </c>
      <c r="B2" s="136">
        <v>2020</v>
      </c>
      <c r="C2" s="161">
        <v>1</v>
      </c>
      <c r="D2" s="135" t="s">
        <v>148</v>
      </c>
      <c r="E2" s="137">
        <v>0.71492721999999997</v>
      </c>
      <c r="F2" s="138">
        <v>0.14460914</v>
      </c>
      <c r="G2" s="137">
        <v>0.14046363000000001</v>
      </c>
      <c r="H2" s="162">
        <v>39950</v>
      </c>
      <c r="I2" s="163" t="s">
        <v>149</v>
      </c>
    </row>
    <row r="3" spans="1:9" ht="16.899999999999999" customHeight="1" x14ac:dyDescent="0.25">
      <c r="A3" s="135" t="s">
        <v>147</v>
      </c>
      <c r="B3" s="136">
        <v>2020</v>
      </c>
      <c r="C3" s="161">
        <v>2</v>
      </c>
      <c r="D3" s="135" t="s">
        <v>18</v>
      </c>
      <c r="E3" s="137">
        <v>0.66524070000000002</v>
      </c>
      <c r="F3" s="138">
        <v>0.16421817</v>
      </c>
      <c r="G3" s="137">
        <v>0.17054113000000001</v>
      </c>
      <c r="H3" s="162">
        <v>39686</v>
      </c>
      <c r="I3" s="163" t="s">
        <v>149</v>
      </c>
    </row>
    <row r="4" spans="1:9" ht="16.899999999999999" customHeight="1" x14ac:dyDescent="0.25">
      <c r="A4" s="135" t="s">
        <v>147</v>
      </c>
      <c r="B4" s="136">
        <v>2020</v>
      </c>
      <c r="C4" s="161">
        <v>3</v>
      </c>
      <c r="D4" s="135" t="s">
        <v>20</v>
      </c>
      <c r="E4" s="137">
        <v>0.76259964000000002</v>
      </c>
      <c r="F4" s="138">
        <v>0.13240640000000001</v>
      </c>
      <c r="G4" s="137">
        <v>0.10499396</v>
      </c>
      <c r="H4" s="162">
        <v>39788</v>
      </c>
      <c r="I4" s="163" t="s">
        <v>149</v>
      </c>
    </row>
    <row r="5" spans="1:9" ht="16.899999999999999" customHeight="1" x14ac:dyDescent="0.25">
      <c r="A5" s="135" t="s">
        <v>147</v>
      </c>
      <c r="B5" s="136">
        <v>2020</v>
      </c>
      <c r="C5" s="161">
        <v>4</v>
      </c>
      <c r="D5" s="135" t="s">
        <v>24</v>
      </c>
      <c r="E5" s="137">
        <v>0.85632249999999999</v>
      </c>
      <c r="F5" s="138">
        <v>7.9330810000000002E-2</v>
      </c>
      <c r="G5" s="137">
        <v>6.4346689999999998E-2</v>
      </c>
      <c r="H5" s="162">
        <v>40145</v>
      </c>
      <c r="I5" s="163" t="s">
        <v>149</v>
      </c>
    </row>
    <row r="6" spans="1:9" ht="16.899999999999999" customHeight="1" x14ac:dyDescent="0.25">
      <c r="A6" s="135" t="s">
        <v>147</v>
      </c>
      <c r="B6" s="136">
        <v>2020</v>
      </c>
      <c r="C6" s="161">
        <v>5</v>
      </c>
      <c r="D6" s="135" t="s">
        <v>150</v>
      </c>
      <c r="E6" s="137">
        <v>0.66856968000000006</v>
      </c>
      <c r="F6" s="138">
        <v>0.12847239999999999</v>
      </c>
      <c r="G6" s="137">
        <v>0.20295792000000001</v>
      </c>
      <c r="H6" s="162">
        <v>39871</v>
      </c>
      <c r="I6" s="163">
        <v>60</v>
      </c>
    </row>
    <row r="7" spans="1:9" ht="16.899999999999999" customHeight="1" x14ac:dyDescent="0.25">
      <c r="A7" s="135" t="s">
        <v>147</v>
      </c>
      <c r="B7" s="136">
        <v>2020</v>
      </c>
      <c r="C7" s="161">
        <v>6</v>
      </c>
      <c r="D7" s="135" t="s">
        <v>151</v>
      </c>
      <c r="E7" s="137">
        <v>0.66634636999999997</v>
      </c>
      <c r="F7" s="138">
        <v>0.15845698</v>
      </c>
      <c r="G7" s="137">
        <v>0.17519665000000001</v>
      </c>
      <c r="H7" s="162">
        <v>39382</v>
      </c>
      <c r="I7" s="163">
        <v>107</v>
      </c>
    </row>
    <row r="8" spans="1:9" ht="16.899999999999999" customHeight="1" x14ac:dyDescent="0.25">
      <c r="A8" s="135" t="s">
        <v>147</v>
      </c>
      <c r="B8" s="136">
        <v>2020</v>
      </c>
      <c r="C8" s="161">
        <v>7</v>
      </c>
      <c r="D8" s="135" t="s">
        <v>152</v>
      </c>
      <c r="E8" s="137">
        <v>0.87614325999999998</v>
      </c>
      <c r="F8" s="138">
        <v>7.841426E-2</v>
      </c>
      <c r="G8" s="137">
        <v>4.544248E-2</v>
      </c>
      <c r="H8" s="162">
        <v>39891</v>
      </c>
      <c r="I8" s="163">
        <v>118</v>
      </c>
    </row>
    <row r="9" spans="1:9" ht="16.899999999999999" customHeight="1" x14ac:dyDescent="0.25">
      <c r="A9" s="135" t="s">
        <v>147</v>
      </c>
      <c r="B9" s="136">
        <v>2020</v>
      </c>
      <c r="C9" s="161">
        <v>8</v>
      </c>
      <c r="D9" s="135" t="s">
        <v>153</v>
      </c>
      <c r="E9" s="137">
        <v>0.72303273000000001</v>
      </c>
      <c r="F9" s="138">
        <v>0.15749521999999999</v>
      </c>
      <c r="G9" s="137">
        <v>0.11947205</v>
      </c>
      <c r="H9" s="162">
        <v>38742</v>
      </c>
      <c r="I9" s="163">
        <v>1455</v>
      </c>
    </row>
    <row r="10" spans="1:9" ht="16.899999999999999" customHeight="1" x14ac:dyDescent="0.25">
      <c r="A10" s="135" t="s">
        <v>147</v>
      </c>
      <c r="B10" s="136">
        <v>2020</v>
      </c>
      <c r="C10" s="161">
        <v>9</v>
      </c>
      <c r="D10" s="135" t="s">
        <v>154</v>
      </c>
      <c r="E10" s="137">
        <v>0.86063440000000002</v>
      </c>
      <c r="F10" s="138">
        <v>7.784452E-2</v>
      </c>
      <c r="G10" s="137">
        <v>6.1521079999999999E-2</v>
      </c>
      <c r="H10" s="162">
        <v>40265</v>
      </c>
      <c r="I10" s="163" t="s">
        <v>149</v>
      </c>
    </row>
    <row r="11" spans="1:9" ht="16.899999999999999" customHeight="1" x14ac:dyDescent="0.25">
      <c r="A11" s="135" t="s">
        <v>147</v>
      </c>
      <c r="B11" s="136">
        <v>2020</v>
      </c>
      <c r="C11" s="161">
        <v>10</v>
      </c>
      <c r="D11" s="135" t="s">
        <v>42</v>
      </c>
      <c r="E11" s="137">
        <v>0.47481763999999999</v>
      </c>
      <c r="F11" s="138">
        <v>0.29349199999999998</v>
      </c>
      <c r="G11" s="137">
        <v>0.23169037000000001</v>
      </c>
      <c r="H11" s="162">
        <v>31155</v>
      </c>
      <c r="I11" s="163">
        <v>9116</v>
      </c>
    </row>
    <row r="12" spans="1:9" ht="16.899999999999999" customHeight="1" x14ac:dyDescent="0.25">
      <c r="A12" s="135" t="s">
        <v>147</v>
      </c>
      <c r="B12" s="136">
        <v>2020</v>
      </c>
      <c r="C12" s="161">
        <v>12</v>
      </c>
      <c r="D12" s="135" t="s">
        <v>155</v>
      </c>
      <c r="E12" s="137">
        <v>0.54338779999999998</v>
      </c>
      <c r="F12" s="138">
        <v>0.25427042999999999</v>
      </c>
      <c r="G12" s="137">
        <v>0.20234176000000001</v>
      </c>
      <c r="H12" s="162">
        <v>34714</v>
      </c>
      <c r="I12" s="163">
        <v>5532</v>
      </c>
    </row>
    <row r="13" spans="1:9" ht="34.9" customHeight="1" x14ac:dyDescent="0.25">
      <c r="A13" s="135" t="s">
        <v>147</v>
      </c>
      <c r="B13" s="136">
        <v>2020</v>
      </c>
      <c r="C13" s="161">
        <v>13</v>
      </c>
      <c r="D13" s="135" t="s">
        <v>156</v>
      </c>
      <c r="E13" s="137">
        <v>0.82177913000000002</v>
      </c>
      <c r="F13" s="138">
        <v>0.10265836</v>
      </c>
      <c r="G13" s="137">
        <v>7.5562519999999994E-2</v>
      </c>
      <c r="H13" s="162">
        <v>39591</v>
      </c>
      <c r="I13" s="163">
        <v>674</v>
      </c>
    </row>
    <row r="14" spans="1:9" ht="16.899999999999999" customHeight="1" x14ac:dyDescent="0.25">
      <c r="A14" s="135" t="s">
        <v>147</v>
      </c>
      <c r="B14" s="136">
        <v>2020</v>
      </c>
      <c r="C14" s="161">
        <v>14</v>
      </c>
      <c r="D14" s="135" t="s">
        <v>45</v>
      </c>
      <c r="E14" s="137">
        <v>0.65885890999999996</v>
      </c>
      <c r="F14" s="138">
        <v>0.16995684999999999</v>
      </c>
      <c r="G14" s="137">
        <v>0.17118423999999999</v>
      </c>
      <c r="H14" s="162">
        <v>39007</v>
      </c>
      <c r="I14" s="163">
        <v>1052</v>
      </c>
    </row>
    <row r="15" spans="1:9" ht="16.899999999999999" customHeight="1" x14ac:dyDescent="0.25">
      <c r="A15" s="135" t="s">
        <v>147</v>
      </c>
      <c r="B15" s="136">
        <v>2020</v>
      </c>
      <c r="C15" s="161">
        <v>15</v>
      </c>
      <c r="D15" s="135" t="s">
        <v>46</v>
      </c>
      <c r="E15" s="137">
        <v>0.77218871</v>
      </c>
      <c r="F15" s="138">
        <v>0.1131009</v>
      </c>
      <c r="G15" s="137">
        <v>0.11471039</v>
      </c>
      <c r="H15" s="162">
        <v>39479</v>
      </c>
      <c r="I15" s="163">
        <v>592</v>
      </c>
    </row>
    <row r="16" spans="1:9" ht="16.899999999999999" customHeight="1" x14ac:dyDescent="0.25">
      <c r="A16" s="135" t="s">
        <v>147</v>
      </c>
      <c r="B16" s="136">
        <v>2020</v>
      </c>
      <c r="C16" s="161">
        <v>16</v>
      </c>
      <c r="D16" s="135" t="s">
        <v>47</v>
      </c>
      <c r="E16" s="137">
        <v>0.79397952999999999</v>
      </c>
      <c r="F16" s="138">
        <v>0.14279310000000001</v>
      </c>
      <c r="G16" s="137">
        <v>6.3227370000000005E-2</v>
      </c>
      <c r="H16" s="162">
        <v>39144</v>
      </c>
      <c r="I16" s="163">
        <v>970</v>
      </c>
    </row>
    <row r="17" spans="1:9" ht="16.899999999999999" customHeight="1" x14ac:dyDescent="0.25">
      <c r="A17" s="135" t="s">
        <v>147</v>
      </c>
      <c r="B17" s="136">
        <v>2020</v>
      </c>
      <c r="C17" s="161">
        <v>17</v>
      </c>
      <c r="D17" s="135" t="s">
        <v>157</v>
      </c>
      <c r="E17" s="137">
        <v>0.74276112000000005</v>
      </c>
      <c r="F17" s="138">
        <v>0.15505342</v>
      </c>
      <c r="G17" s="137">
        <v>0.10218546000000001</v>
      </c>
      <c r="H17" s="162">
        <v>40249</v>
      </c>
      <c r="I17" s="163" t="s">
        <v>149</v>
      </c>
    </row>
    <row r="18" spans="1:9" ht="16.899999999999999" customHeight="1" x14ac:dyDescent="0.25">
      <c r="A18" s="135" t="s">
        <v>147</v>
      </c>
      <c r="B18" s="136">
        <v>2020</v>
      </c>
      <c r="C18" s="161">
        <v>18</v>
      </c>
      <c r="D18" s="135" t="s">
        <v>158</v>
      </c>
      <c r="E18" s="137">
        <v>0.46861082999999998</v>
      </c>
      <c r="F18" s="138">
        <v>0.25787223999999997</v>
      </c>
      <c r="G18" s="137">
        <v>0.27351692999999999</v>
      </c>
      <c r="H18" s="162">
        <v>37610</v>
      </c>
      <c r="I18" s="163">
        <v>2663</v>
      </c>
    </row>
    <row r="19" spans="1:9" ht="16.899999999999999" customHeight="1" x14ac:dyDescent="0.25">
      <c r="A19" s="135" t="s">
        <v>147</v>
      </c>
      <c r="B19" s="136">
        <v>2020</v>
      </c>
      <c r="C19" s="161">
        <v>19</v>
      </c>
      <c r="D19" s="135" t="s">
        <v>50</v>
      </c>
      <c r="E19" s="137">
        <v>0.87988825999999998</v>
      </c>
      <c r="F19" s="138">
        <v>6.3212729999999995E-2</v>
      </c>
      <c r="G19" s="137">
        <v>5.6899020000000002E-2</v>
      </c>
      <c r="H19" s="162">
        <v>39944</v>
      </c>
      <c r="I19" s="163">
        <v>275</v>
      </c>
    </row>
    <row r="20" spans="1:9" ht="16.899999999999999" customHeight="1" x14ac:dyDescent="0.25">
      <c r="A20" s="135" t="s">
        <v>147</v>
      </c>
      <c r="B20" s="136">
        <v>2020</v>
      </c>
      <c r="C20" s="161">
        <v>20</v>
      </c>
      <c r="D20" s="135" t="s">
        <v>51</v>
      </c>
      <c r="E20" s="137">
        <v>0.83029359000000003</v>
      </c>
      <c r="F20" s="138">
        <v>0.11842632</v>
      </c>
      <c r="G20" s="137">
        <v>5.128009E-2</v>
      </c>
      <c r="H20" s="162">
        <v>37595</v>
      </c>
      <c r="I20" s="163">
        <v>2563</v>
      </c>
    </row>
    <row r="21" spans="1:9" ht="16.899999999999999" customHeight="1" x14ac:dyDescent="0.25">
      <c r="A21" s="135" t="s">
        <v>147</v>
      </c>
      <c r="B21" s="136">
        <v>2020</v>
      </c>
      <c r="C21" s="161">
        <v>21</v>
      </c>
      <c r="D21" s="135" t="s">
        <v>52</v>
      </c>
      <c r="E21" s="137">
        <v>0.81092218000000005</v>
      </c>
      <c r="F21" s="138">
        <v>0.10525714999999999</v>
      </c>
      <c r="G21" s="137">
        <v>8.3820679999999995E-2</v>
      </c>
      <c r="H21" s="162">
        <v>39550</v>
      </c>
      <c r="I21" s="163">
        <v>628</v>
      </c>
    </row>
    <row r="22" spans="1:9" ht="16.899999999999999" customHeight="1" x14ac:dyDescent="0.25">
      <c r="A22" s="135" t="s">
        <v>147</v>
      </c>
      <c r="B22" s="136">
        <v>2020</v>
      </c>
      <c r="C22" s="161">
        <v>22</v>
      </c>
      <c r="D22" s="135" t="s">
        <v>53</v>
      </c>
      <c r="E22" s="137">
        <v>0.84688465999999996</v>
      </c>
      <c r="F22" s="138">
        <v>7.9419669999999998E-2</v>
      </c>
      <c r="G22" s="137">
        <v>7.3695670000000005E-2</v>
      </c>
      <c r="H22" s="162">
        <v>40170</v>
      </c>
      <c r="I22" s="163" t="s">
        <v>149</v>
      </c>
    </row>
    <row r="23" spans="1:9" ht="16.899999999999999" customHeight="1" x14ac:dyDescent="0.25">
      <c r="A23" s="135" t="s">
        <v>147</v>
      </c>
      <c r="B23" s="136">
        <v>2020</v>
      </c>
      <c r="C23" s="161">
        <v>23</v>
      </c>
      <c r="D23" s="135" t="s">
        <v>54</v>
      </c>
      <c r="E23" s="137">
        <v>0.87890122000000004</v>
      </c>
      <c r="F23" s="138">
        <v>6.5420839999999994E-2</v>
      </c>
      <c r="G23" s="137">
        <v>5.5677940000000002E-2</v>
      </c>
      <c r="H23" s="162">
        <v>40153</v>
      </c>
      <c r="I23" s="163" t="s">
        <v>149</v>
      </c>
    </row>
    <row r="24" spans="1:9" ht="16.899999999999999" customHeight="1" x14ac:dyDescent="0.25">
      <c r="A24" s="135" t="s">
        <v>147</v>
      </c>
      <c r="B24" s="136">
        <v>2020</v>
      </c>
      <c r="C24" s="161">
        <v>24</v>
      </c>
      <c r="D24" s="135" t="s">
        <v>55</v>
      </c>
      <c r="E24" s="137">
        <v>0.78887746999999997</v>
      </c>
      <c r="F24" s="138">
        <v>0.11510914</v>
      </c>
      <c r="G24" s="137">
        <v>9.6013379999999995E-2</v>
      </c>
      <c r="H24" s="162">
        <v>40159</v>
      </c>
      <c r="I24" s="163" t="s">
        <v>149</v>
      </c>
    </row>
    <row r="25" spans="1:9" ht="16.899999999999999" customHeight="1" x14ac:dyDescent="0.25">
      <c r="A25" s="135" t="s">
        <v>159</v>
      </c>
      <c r="B25" s="136">
        <v>2020</v>
      </c>
      <c r="C25" s="161">
        <v>25</v>
      </c>
      <c r="D25" s="135" t="s">
        <v>56</v>
      </c>
      <c r="E25" s="137">
        <v>0.82382869999999997</v>
      </c>
      <c r="F25" s="138">
        <v>0.11354328</v>
      </c>
      <c r="G25" s="137">
        <v>6.2628030000000001E-2</v>
      </c>
      <c r="H25" s="162">
        <v>40220</v>
      </c>
      <c r="I25" s="163" t="s">
        <v>149</v>
      </c>
    </row>
    <row r="26" spans="1:9" ht="34.9" customHeight="1" x14ac:dyDescent="0.25">
      <c r="A26" s="135" t="s">
        <v>147</v>
      </c>
      <c r="B26" s="136">
        <v>2020</v>
      </c>
      <c r="C26" s="161">
        <v>26</v>
      </c>
      <c r="D26" s="135" t="s">
        <v>57</v>
      </c>
      <c r="E26" s="137">
        <v>0.53656265999999997</v>
      </c>
      <c r="F26" s="138">
        <v>0.23224031000000001</v>
      </c>
      <c r="G26" s="137">
        <v>0.23119703</v>
      </c>
      <c r="H26" s="162">
        <v>39063</v>
      </c>
      <c r="I26" s="163">
        <v>979</v>
      </c>
    </row>
    <row r="27" spans="1:9" ht="16.899999999999999" customHeight="1" x14ac:dyDescent="0.25">
      <c r="A27" s="135" t="s">
        <v>147</v>
      </c>
      <c r="B27" s="136">
        <v>2020</v>
      </c>
      <c r="C27" s="161">
        <v>27</v>
      </c>
      <c r="D27" s="135" t="s">
        <v>58</v>
      </c>
      <c r="E27" s="137">
        <v>0.62572408999999996</v>
      </c>
      <c r="F27" s="138">
        <v>0.22785968000000001</v>
      </c>
      <c r="G27" s="137">
        <v>0.14641622000000001</v>
      </c>
      <c r="H27" s="162">
        <v>37014</v>
      </c>
      <c r="I27" s="163">
        <v>2875</v>
      </c>
    </row>
    <row r="28" spans="1:9" ht="16.899999999999999" customHeight="1" x14ac:dyDescent="0.25">
      <c r="A28" s="135" t="s">
        <v>147</v>
      </c>
      <c r="B28" s="136">
        <v>2020</v>
      </c>
      <c r="C28" s="161">
        <v>28</v>
      </c>
      <c r="D28" s="135" t="s">
        <v>160</v>
      </c>
      <c r="E28" s="137">
        <v>0.75034087000000005</v>
      </c>
      <c r="F28" s="138">
        <v>0.14025420999999999</v>
      </c>
      <c r="G28" s="137">
        <v>0.10940490999999999</v>
      </c>
      <c r="H28" s="162">
        <v>39387</v>
      </c>
      <c r="I28" s="163">
        <v>424</v>
      </c>
    </row>
    <row r="29" spans="1:9" ht="34.9" customHeight="1" x14ac:dyDescent="0.25">
      <c r="A29" s="135" t="s">
        <v>147</v>
      </c>
      <c r="B29" s="136">
        <v>2020</v>
      </c>
      <c r="C29" s="161">
        <v>29</v>
      </c>
      <c r="D29" s="135" t="s">
        <v>100</v>
      </c>
      <c r="E29" s="137">
        <v>0.65421501000000004</v>
      </c>
      <c r="F29" s="138">
        <v>0.17936837999999999</v>
      </c>
      <c r="G29" s="137">
        <v>0.16641660999999999</v>
      </c>
      <c r="H29" s="162">
        <v>38812</v>
      </c>
      <c r="I29" s="163">
        <v>1215</v>
      </c>
    </row>
    <row r="30" spans="1:9" ht="34.9" customHeight="1" x14ac:dyDescent="0.25">
      <c r="A30" s="135" t="s">
        <v>159</v>
      </c>
      <c r="B30" s="136">
        <v>2020</v>
      </c>
      <c r="C30" s="161">
        <v>30</v>
      </c>
      <c r="D30" s="135" t="s">
        <v>60</v>
      </c>
      <c r="E30" s="137">
        <v>0.71703505999999995</v>
      </c>
      <c r="F30" s="138">
        <v>0.17639867000000001</v>
      </c>
      <c r="G30" s="137">
        <v>0.10656627</v>
      </c>
      <c r="H30" s="162">
        <v>36783</v>
      </c>
      <c r="I30" s="163">
        <v>3203</v>
      </c>
    </row>
    <row r="31" spans="1:9" ht="16.899999999999999" customHeight="1" x14ac:dyDescent="0.25">
      <c r="A31" s="135" t="s">
        <v>147</v>
      </c>
      <c r="B31" s="136">
        <v>2020</v>
      </c>
      <c r="C31" s="161">
        <v>31</v>
      </c>
      <c r="D31" s="135" t="s">
        <v>61</v>
      </c>
      <c r="E31" s="137">
        <v>0.64351376999999998</v>
      </c>
      <c r="F31" s="138">
        <v>0.21685636</v>
      </c>
      <c r="G31" s="137">
        <v>0.13962986999999999</v>
      </c>
      <c r="H31" s="162">
        <v>39271</v>
      </c>
      <c r="I31" s="163">
        <v>705</v>
      </c>
    </row>
    <row r="32" spans="1:9" ht="16.899999999999999" customHeight="1" x14ac:dyDescent="0.25">
      <c r="A32" s="135" t="s">
        <v>147</v>
      </c>
      <c r="B32" s="136">
        <v>2020</v>
      </c>
      <c r="C32" s="161">
        <v>32</v>
      </c>
      <c r="D32" s="135" t="s">
        <v>102</v>
      </c>
      <c r="E32" s="137">
        <v>0.70268357999999997</v>
      </c>
      <c r="F32" s="138">
        <v>0.19418901</v>
      </c>
      <c r="G32" s="137">
        <v>0.10312741</v>
      </c>
      <c r="H32" s="162">
        <v>36558</v>
      </c>
      <c r="I32" s="163">
        <v>3388</v>
      </c>
    </row>
    <row r="33" spans="1:9" ht="34.9" customHeight="1" x14ac:dyDescent="0.25">
      <c r="A33" s="135" t="s">
        <v>161</v>
      </c>
      <c r="B33" s="136">
        <v>2020</v>
      </c>
      <c r="C33" s="161">
        <v>33</v>
      </c>
      <c r="D33" s="135" t="s">
        <v>162</v>
      </c>
      <c r="E33" s="137">
        <v>0.57024885999999997</v>
      </c>
      <c r="F33" s="138">
        <v>0.22820484999999999</v>
      </c>
      <c r="G33" s="137">
        <v>0.20154627999999999</v>
      </c>
      <c r="H33" s="162">
        <v>39715</v>
      </c>
      <c r="I33" s="163" t="s">
        <v>149</v>
      </c>
    </row>
    <row r="34" spans="1:9" ht="34.9" customHeight="1" x14ac:dyDescent="0.25">
      <c r="A34" s="135" t="s">
        <v>161</v>
      </c>
      <c r="B34" s="136">
        <v>2020</v>
      </c>
      <c r="C34" s="161">
        <v>34</v>
      </c>
      <c r="D34" s="135" t="s">
        <v>163</v>
      </c>
      <c r="E34" s="137">
        <v>0.63800962000000006</v>
      </c>
      <c r="F34" s="138">
        <v>0.18657567</v>
      </c>
      <c r="G34" s="137">
        <v>0.17541471</v>
      </c>
      <c r="H34" s="162">
        <v>39623</v>
      </c>
      <c r="I34" s="163" t="s">
        <v>149</v>
      </c>
    </row>
    <row r="35" spans="1:9" ht="34.9" customHeight="1" x14ac:dyDescent="0.25">
      <c r="A35" s="135" t="s">
        <v>161</v>
      </c>
      <c r="B35" s="136">
        <v>2020</v>
      </c>
      <c r="C35" s="161">
        <v>35</v>
      </c>
      <c r="D35" s="135" t="s">
        <v>164</v>
      </c>
      <c r="E35" s="137">
        <v>0.63229040000000003</v>
      </c>
      <c r="F35" s="138">
        <v>0.19477894000000001</v>
      </c>
      <c r="G35" s="137">
        <v>0.17293066000000001</v>
      </c>
      <c r="H35" s="162">
        <v>39520</v>
      </c>
      <c r="I35" s="163" t="s">
        <v>149</v>
      </c>
    </row>
    <row r="36" spans="1:9" ht="34.9" customHeight="1" x14ac:dyDescent="0.25">
      <c r="A36" s="135" t="s">
        <v>161</v>
      </c>
      <c r="B36" s="136">
        <v>2020</v>
      </c>
      <c r="C36" s="161">
        <v>36</v>
      </c>
      <c r="D36" s="135" t="s">
        <v>165</v>
      </c>
      <c r="E36" s="137">
        <v>0.74862872999999996</v>
      </c>
      <c r="F36" s="138">
        <v>0.13872248000000001</v>
      </c>
      <c r="G36" s="137">
        <v>0.11264879999999999</v>
      </c>
      <c r="H36" s="162">
        <v>39491</v>
      </c>
      <c r="I36" s="163" t="s">
        <v>149</v>
      </c>
    </row>
    <row r="37" spans="1:9" ht="34.9" customHeight="1" x14ac:dyDescent="0.25">
      <c r="A37" s="135" t="s">
        <v>161</v>
      </c>
      <c r="B37" s="136">
        <v>2020</v>
      </c>
      <c r="C37" s="161">
        <v>37</v>
      </c>
      <c r="D37" s="135" t="s">
        <v>65</v>
      </c>
      <c r="E37" s="137">
        <v>0.66752484000000001</v>
      </c>
      <c r="F37" s="138">
        <v>0.14833352999999999</v>
      </c>
      <c r="G37" s="137">
        <v>0.18414163</v>
      </c>
      <c r="H37" s="162">
        <v>39634</v>
      </c>
      <c r="I37" s="163" t="s">
        <v>149</v>
      </c>
    </row>
    <row r="38" spans="1:9" ht="34.9" customHeight="1" x14ac:dyDescent="0.25">
      <c r="A38" s="135" t="s">
        <v>161</v>
      </c>
      <c r="B38" s="136">
        <v>2020</v>
      </c>
      <c r="C38" s="161">
        <v>38</v>
      </c>
      <c r="D38" s="135" t="s">
        <v>166</v>
      </c>
      <c r="E38" s="137">
        <v>0.69024450000000004</v>
      </c>
      <c r="F38" s="138">
        <v>0.17969567</v>
      </c>
      <c r="G38" s="137">
        <v>0.13005981999999999</v>
      </c>
      <c r="H38" s="162">
        <v>39733</v>
      </c>
      <c r="I38" s="163" t="s">
        <v>149</v>
      </c>
    </row>
    <row r="39" spans="1:9" ht="16.899999999999999" customHeight="1" x14ac:dyDescent="0.25">
      <c r="A39" s="135" t="s">
        <v>147</v>
      </c>
      <c r="B39" s="136">
        <v>2019</v>
      </c>
      <c r="C39" s="161">
        <v>1</v>
      </c>
      <c r="D39" s="135" t="s">
        <v>148</v>
      </c>
      <c r="E39" s="137">
        <v>0.64424090000000001</v>
      </c>
      <c r="F39" s="138">
        <v>0.15933823</v>
      </c>
      <c r="G39" s="137">
        <v>0.19642087</v>
      </c>
      <c r="H39" s="162">
        <v>41436</v>
      </c>
      <c r="I39" s="163" t="s">
        <v>149</v>
      </c>
    </row>
    <row r="40" spans="1:9" ht="16.899999999999999" customHeight="1" x14ac:dyDescent="0.25">
      <c r="A40" s="135" t="s">
        <v>147</v>
      </c>
      <c r="B40" s="136">
        <v>2019</v>
      </c>
      <c r="C40" s="161">
        <v>2</v>
      </c>
      <c r="D40" s="135" t="s">
        <v>18</v>
      </c>
      <c r="E40" s="137">
        <v>0.5887367</v>
      </c>
      <c r="F40" s="138">
        <v>0.18924814000000001</v>
      </c>
      <c r="G40" s="137">
        <v>0.22201515999999999</v>
      </c>
      <c r="H40" s="162">
        <v>41319</v>
      </c>
      <c r="I40" s="163" t="s">
        <v>149</v>
      </c>
    </row>
    <row r="41" spans="1:9" ht="16.899999999999999" customHeight="1" x14ac:dyDescent="0.25">
      <c r="A41" s="135" t="s">
        <v>147</v>
      </c>
      <c r="B41" s="136">
        <v>2019</v>
      </c>
      <c r="C41" s="161">
        <v>3</v>
      </c>
      <c r="D41" s="135" t="s">
        <v>20</v>
      </c>
      <c r="E41" s="137">
        <v>0.71794740999999995</v>
      </c>
      <c r="F41" s="138">
        <v>0.14892382000000001</v>
      </c>
      <c r="G41" s="137">
        <v>0.13312877000000001</v>
      </c>
      <c r="H41" s="162">
        <v>41568</v>
      </c>
      <c r="I41" s="163" t="s">
        <v>149</v>
      </c>
    </row>
    <row r="42" spans="1:9" ht="16.899999999999999" customHeight="1" x14ac:dyDescent="0.25">
      <c r="A42" s="135" t="s">
        <v>147</v>
      </c>
      <c r="B42" s="136">
        <v>2019</v>
      </c>
      <c r="C42" s="161">
        <v>4</v>
      </c>
      <c r="D42" s="135" t="s">
        <v>24</v>
      </c>
      <c r="E42" s="137">
        <v>0.82894745000000003</v>
      </c>
      <c r="F42" s="138">
        <v>9.4130660000000005E-2</v>
      </c>
      <c r="G42" s="137">
        <v>7.6921890000000007E-2</v>
      </c>
      <c r="H42" s="162">
        <v>41542</v>
      </c>
      <c r="I42" s="163" t="s">
        <v>149</v>
      </c>
    </row>
    <row r="43" spans="1:9" ht="16.899999999999999" customHeight="1" x14ac:dyDescent="0.25">
      <c r="A43" s="135" t="s">
        <v>147</v>
      </c>
      <c r="B43" s="136">
        <v>2019</v>
      </c>
      <c r="C43" s="161">
        <v>5</v>
      </c>
      <c r="D43" s="135" t="s">
        <v>150</v>
      </c>
      <c r="E43" s="137">
        <v>0.60461346000000005</v>
      </c>
      <c r="F43" s="138">
        <v>0.15600061000000001</v>
      </c>
      <c r="G43" s="137">
        <v>0.23938593</v>
      </c>
      <c r="H43" s="162">
        <v>41433</v>
      </c>
      <c r="I43" s="163">
        <v>88</v>
      </c>
    </row>
    <row r="44" spans="1:9" ht="16.899999999999999" customHeight="1" x14ac:dyDescent="0.25">
      <c r="A44" s="135" t="s">
        <v>147</v>
      </c>
      <c r="B44" s="136">
        <v>2019</v>
      </c>
      <c r="C44" s="161">
        <v>6</v>
      </c>
      <c r="D44" s="135" t="s">
        <v>151</v>
      </c>
      <c r="E44" s="137">
        <v>0.59235643000000004</v>
      </c>
      <c r="F44" s="138">
        <v>0.17655667999999999</v>
      </c>
      <c r="G44" s="137">
        <v>0.23108687999999999</v>
      </c>
      <c r="H44" s="162">
        <v>40932</v>
      </c>
      <c r="I44" s="163">
        <v>215</v>
      </c>
    </row>
    <row r="45" spans="1:9" ht="16.899999999999999" customHeight="1" x14ac:dyDescent="0.25">
      <c r="A45" s="135" t="s">
        <v>147</v>
      </c>
      <c r="B45" s="136">
        <v>2019</v>
      </c>
      <c r="C45" s="161">
        <v>7</v>
      </c>
      <c r="D45" s="135" t="s">
        <v>152</v>
      </c>
      <c r="E45" s="137">
        <v>0.83707372000000002</v>
      </c>
      <c r="F45" s="138">
        <v>0.1005458</v>
      </c>
      <c r="G45" s="137">
        <v>6.2380480000000002E-2</v>
      </c>
      <c r="H45" s="162">
        <v>41356</v>
      </c>
      <c r="I45" s="163">
        <v>168</v>
      </c>
    </row>
    <row r="46" spans="1:9" ht="16.899999999999999" customHeight="1" x14ac:dyDescent="0.25">
      <c r="A46" s="135" t="s">
        <v>147</v>
      </c>
      <c r="B46" s="136">
        <v>2019</v>
      </c>
      <c r="C46" s="161">
        <v>8</v>
      </c>
      <c r="D46" s="135" t="s">
        <v>153</v>
      </c>
      <c r="E46" s="137">
        <v>0.69133054999999999</v>
      </c>
      <c r="F46" s="138">
        <v>0.16867694</v>
      </c>
      <c r="G46" s="137">
        <v>0.13999249999999999</v>
      </c>
      <c r="H46" s="162">
        <v>39801</v>
      </c>
      <c r="I46" s="163">
        <v>1759</v>
      </c>
    </row>
    <row r="47" spans="1:9" ht="16.899999999999999" customHeight="1" x14ac:dyDescent="0.25">
      <c r="A47" s="135" t="s">
        <v>147</v>
      </c>
      <c r="B47" s="136">
        <v>2019</v>
      </c>
      <c r="C47" s="161">
        <v>9</v>
      </c>
      <c r="D47" s="135" t="s">
        <v>154</v>
      </c>
      <c r="E47" s="137">
        <v>0.78950198000000005</v>
      </c>
      <c r="F47" s="138">
        <v>0.11388971000000001</v>
      </c>
      <c r="G47" s="137">
        <v>9.6608310000000003E-2</v>
      </c>
      <c r="H47" s="162">
        <v>41444</v>
      </c>
      <c r="I47" s="163" t="s">
        <v>149</v>
      </c>
    </row>
    <row r="48" spans="1:9" ht="16.899999999999999" customHeight="1" x14ac:dyDescent="0.25">
      <c r="A48" s="135" t="s">
        <v>147</v>
      </c>
      <c r="B48" s="136">
        <v>2019</v>
      </c>
      <c r="C48" s="161">
        <v>10</v>
      </c>
      <c r="D48" s="135" t="s">
        <v>42</v>
      </c>
      <c r="E48" s="137">
        <v>0.37219723999999998</v>
      </c>
      <c r="F48" s="138">
        <v>0.30024600000000001</v>
      </c>
      <c r="G48" s="137">
        <v>0.32755676</v>
      </c>
      <c r="H48" s="162">
        <v>35046</v>
      </c>
      <c r="I48" s="163">
        <v>6209</v>
      </c>
    </row>
    <row r="49" spans="1:9" ht="16.899999999999999" customHeight="1" x14ac:dyDescent="0.25">
      <c r="A49" s="135" t="s">
        <v>147</v>
      </c>
      <c r="B49" s="136">
        <v>2019</v>
      </c>
      <c r="C49" s="161">
        <v>12</v>
      </c>
      <c r="D49" s="135" t="s">
        <v>155</v>
      </c>
      <c r="E49" s="137">
        <v>0.40621274000000002</v>
      </c>
      <c r="F49" s="138">
        <v>0.29705712000000001</v>
      </c>
      <c r="G49" s="137">
        <v>0.29673013999999998</v>
      </c>
      <c r="H49" s="162">
        <v>37516</v>
      </c>
      <c r="I49" s="163">
        <v>3777</v>
      </c>
    </row>
    <row r="50" spans="1:9" ht="34.9" customHeight="1" x14ac:dyDescent="0.25">
      <c r="A50" s="135" t="s">
        <v>147</v>
      </c>
      <c r="B50" s="136">
        <v>2019</v>
      </c>
      <c r="C50" s="161">
        <v>13</v>
      </c>
      <c r="D50" s="135" t="s">
        <v>156</v>
      </c>
      <c r="E50" s="137">
        <v>0.79747082000000002</v>
      </c>
      <c r="F50" s="138">
        <v>0.11871971000000001</v>
      </c>
      <c r="G50" s="137">
        <v>8.3809460000000002E-2</v>
      </c>
      <c r="H50" s="162">
        <v>40626</v>
      </c>
      <c r="I50" s="163">
        <v>661</v>
      </c>
    </row>
    <row r="51" spans="1:9" ht="16.899999999999999" customHeight="1" x14ac:dyDescent="0.25">
      <c r="A51" s="135" t="s">
        <v>147</v>
      </c>
      <c r="B51" s="136">
        <v>2019</v>
      </c>
      <c r="C51" s="161">
        <v>14</v>
      </c>
      <c r="D51" s="135" t="s">
        <v>45</v>
      </c>
      <c r="E51" s="137">
        <v>0.53648057999999998</v>
      </c>
      <c r="F51" s="138">
        <v>0.21377525999999999</v>
      </c>
      <c r="G51" s="137">
        <v>0.24974415999999999</v>
      </c>
      <c r="H51" s="162">
        <v>39656</v>
      </c>
      <c r="I51" s="163">
        <v>1188</v>
      </c>
    </row>
    <row r="52" spans="1:9" ht="16.899999999999999" customHeight="1" x14ac:dyDescent="0.25">
      <c r="A52" s="135" t="s">
        <v>147</v>
      </c>
      <c r="B52" s="136">
        <v>2019</v>
      </c>
      <c r="C52" s="161">
        <v>15</v>
      </c>
      <c r="D52" s="135" t="s">
        <v>46</v>
      </c>
      <c r="E52" s="137">
        <v>0.74349180999999998</v>
      </c>
      <c r="F52" s="138">
        <v>0.14346834</v>
      </c>
      <c r="G52" s="137">
        <v>0.11303985</v>
      </c>
      <c r="H52" s="162">
        <v>40130</v>
      </c>
      <c r="I52" s="163">
        <v>755</v>
      </c>
    </row>
    <row r="53" spans="1:9" ht="16.899999999999999" customHeight="1" x14ac:dyDescent="0.25">
      <c r="A53" s="135" t="s">
        <v>147</v>
      </c>
      <c r="B53" s="136">
        <v>2019</v>
      </c>
      <c r="C53" s="161">
        <v>16</v>
      </c>
      <c r="D53" s="135" t="s">
        <v>47</v>
      </c>
      <c r="E53" s="137">
        <v>0.72971269999999999</v>
      </c>
      <c r="F53" s="138">
        <v>0.18344033000000001</v>
      </c>
      <c r="G53" s="137">
        <v>8.6846980000000004E-2</v>
      </c>
      <c r="H53" s="162">
        <v>39547</v>
      </c>
      <c r="I53" s="163">
        <v>1240</v>
      </c>
    </row>
    <row r="54" spans="1:9" ht="16.899999999999999" customHeight="1" x14ac:dyDescent="0.25">
      <c r="A54" s="135" t="s">
        <v>147</v>
      </c>
      <c r="B54" s="136">
        <v>2019</v>
      </c>
      <c r="C54" s="161">
        <v>17</v>
      </c>
      <c r="D54" s="135" t="s">
        <v>157</v>
      </c>
      <c r="E54" s="137">
        <v>0.66902401</v>
      </c>
      <c r="F54" s="138">
        <v>0.18852294999999999</v>
      </c>
      <c r="G54" s="137">
        <v>0.14245304</v>
      </c>
      <c r="H54" s="162">
        <v>40816</v>
      </c>
      <c r="I54" s="163" t="s">
        <v>149</v>
      </c>
    </row>
    <row r="55" spans="1:9" ht="16.899999999999999" customHeight="1" x14ac:dyDescent="0.25">
      <c r="A55" s="135" t="s">
        <v>147</v>
      </c>
      <c r="B55" s="136">
        <v>2019</v>
      </c>
      <c r="C55" s="161">
        <v>18</v>
      </c>
      <c r="D55" s="135" t="s">
        <v>158</v>
      </c>
      <c r="E55" s="137">
        <v>0.40695499000000002</v>
      </c>
      <c r="F55" s="138">
        <v>0.24874683</v>
      </c>
      <c r="G55" s="137">
        <v>0.34429817000000001</v>
      </c>
      <c r="H55" s="162">
        <v>38482</v>
      </c>
      <c r="I55" s="163">
        <v>2370</v>
      </c>
    </row>
    <row r="56" spans="1:9" ht="16.899999999999999" customHeight="1" x14ac:dyDescent="0.25">
      <c r="A56" s="135" t="s">
        <v>147</v>
      </c>
      <c r="B56" s="136">
        <v>2019</v>
      </c>
      <c r="C56" s="161">
        <v>19</v>
      </c>
      <c r="D56" s="135" t="s">
        <v>50</v>
      </c>
      <c r="E56" s="137">
        <v>0.8493404</v>
      </c>
      <c r="F56" s="138">
        <v>7.8334479999999998E-2</v>
      </c>
      <c r="G56" s="137">
        <v>7.2325120000000007E-2</v>
      </c>
      <c r="H56" s="162">
        <v>40488</v>
      </c>
      <c r="I56" s="163">
        <v>234</v>
      </c>
    </row>
    <row r="57" spans="1:9" ht="16.899999999999999" customHeight="1" x14ac:dyDescent="0.25">
      <c r="A57" s="135" t="s">
        <v>147</v>
      </c>
      <c r="B57" s="136">
        <v>2019</v>
      </c>
      <c r="C57" s="161">
        <v>20</v>
      </c>
      <c r="D57" s="135" t="s">
        <v>51</v>
      </c>
      <c r="E57" s="137">
        <v>0.75819316999999997</v>
      </c>
      <c r="F57" s="138">
        <v>0.17049802</v>
      </c>
      <c r="G57" s="137">
        <v>7.1308800000000006E-2</v>
      </c>
      <c r="H57" s="162">
        <v>37310</v>
      </c>
      <c r="I57" s="163">
        <v>3338</v>
      </c>
    </row>
    <row r="58" spans="1:9" ht="16.899999999999999" customHeight="1" x14ac:dyDescent="0.25">
      <c r="A58" s="135" t="s">
        <v>147</v>
      </c>
      <c r="B58" s="136">
        <v>2019</v>
      </c>
      <c r="C58" s="161">
        <v>21</v>
      </c>
      <c r="D58" s="135" t="s">
        <v>52</v>
      </c>
      <c r="E58" s="137">
        <v>0.73666777000000006</v>
      </c>
      <c r="F58" s="138">
        <v>0.14107908999999999</v>
      </c>
      <c r="G58" s="137">
        <v>0.12225314</v>
      </c>
      <c r="H58" s="162">
        <v>39974</v>
      </c>
      <c r="I58" s="163">
        <v>726</v>
      </c>
    </row>
    <row r="59" spans="1:9" ht="16.899999999999999" customHeight="1" x14ac:dyDescent="0.25">
      <c r="A59" s="135" t="s">
        <v>147</v>
      </c>
      <c r="B59" s="136">
        <v>2019</v>
      </c>
      <c r="C59" s="161">
        <v>22</v>
      </c>
      <c r="D59" s="135" t="s">
        <v>53</v>
      </c>
      <c r="E59" s="137">
        <v>0.81539605999999998</v>
      </c>
      <c r="F59" s="138">
        <v>9.3977829999999998E-2</v>
      </c>
      <c r="G59" s="137">
        <v>9.0626120000000004E-2</v>
      </c>
      <c r="H59" s="162">
        <v>40585</v>
      </c>
      <c r="I59" s="163" t="s">
        <v>149</v>
      </c>
    </row>
    <row r="60" spans="1:9" ht="16.899999999999999" customHeight="1" x14ac:dyDescent="0.25">
      <c r="A60" s="135" t="s">
        <v>147</v>
      </c>
      <c r="B60" s="136">
        <v>2019</v>
      </c>
      <c r="C60" s="161">
        <v>23</v>
      </c>
      <c r="D60" s="135" t="s">
        <v>54</v>
      </c>
      <c r="E60" s="137">
        <v>0.85756768999999999</v>
      </c>
      <c r="F60" s="138">
        <v>7.3748090000000002E-2</v>
      </c>
      <c r="G60" s="137">
        <v>6.8684209999999996E-2</v>
      </c>
      <c r="H60" s="162">
        <v>40593</v>
      </c>
      <c r="I60" s="163" t="s">
        <v>149</v>
      </c>
    </row>
    <row r="61" spans="1:9" ht="16.899999999999999" customHeight="1" x14ac:dyDescent="0.25">
      <c r="A61" s="135" t="s">
        <v>147</v>
      </c>
      <c r="B61" s="136">
        <v>2019</v>
      </c>
      <c r="C61" s="161">
        <v>24</v>
      </c>
      <c r="D61" s="135" t="s">
        <v>55</v>
      </c>
      <c r="E61" s="137">
        <v>0.74747574999999999</v>
      </c>
      <c r="F61" s="138">
        <v>0.13324799000000001</v>
      </c>
      <c r="G61" s="137">
        <v>0.11927625</v>
      </c>
      <c r="H61" s="162">
        <v>40575</v>
      </c>
      <c r="I61" s="163" t="s">
        <v>149</v>
      </c>
    </row>
    <row r="62" spans="1:9" ht="16.899999999999999" customHeight="1" x14ac:dyDescent="0.25">
      <c r="A62" s="135" t="s">
        <v>159</v>
      </c>
      <c r="B62" s="136">
        <v>2019</v>
      </c>
      <c r="C62" s="161">
        <v>25</v>
      </c>
      <c r="D62" s="135" t="s">
        <v>56</v>
      </c>
      <c r="E62" s="137">
        <v>0.78745723999999995</v>
      </c>
      <c r="F62" s="138">
        <v>0.13140039000000001</v>
      </c>
      <c r="G62" s="137">
        <v>8.1142370000000005E-2</v>
      </c>
      <c r="H62" s="162">
        <v>40530</v>
      </c>
      <c r="I62" s="163" t="s">
        <v>149</v>
      </c>
    </row>
    <row r="63" spans="1:9" ht="34.9" customHeight="1" x14ac:dyDescent="0.25">
      <c r="A63" s="135" t="s">
        <v>147</v>
      </c>
      <c r="B63" s="136">
        <v>2019</v>
      </c>
      <c r="C63" s="161">
        <v>26</v>
      </c>
      <c r="D63" s="135" t="s">
        <v>57</v>
      </c>
      <c r="E63" s="137">
        <v>0.44093275999999998</v>
      </c>
      <c r="F63" s="138">
        <v>0.24766134000000001</v>
      </c>
      <c r="G63" s="137">
        <v>0.31140590000000001</v>
      </c>
      <c r="H63" s="162">
        <v>39146</v>
      </c>
      <c r="I63" s="163">
        <v>1175</v>
      </c>
    </row>
    <row r="64" spans="1:9" ht="16.899999999999999" customHeight="1" x14ac:dyDescent="0.25">
      <c r="A64" s="135" t="s">
        <v>147</v>
      </c>
      <c r="B64" s="136">
        <v>2019</v>
      </c>
      <c r="C64" s="161">
        <v>27</v>
      </c>
      <c r="D64" s="135" t="s">
        <v>58</v>
      </c>
      <c r="E64" s="137">
        <v>0.53350547999999998</v>
      </c>
      <c r="F64" s="138">
        <v>0.25868324999999998</v>
      </c>
      <c r="G64" s="137">
        <v>0.20781126999999999</v>
      </c>
      <c r="H64" s="162">
        <v>36825</v>
      </c>
      <c r="I64" s="163">
        <v>3471</v>
      </c>
    </row>
    <row r="65" spans="1:9" ht="16.899999999999999" customHeight="1" x14ac:dyDescent="0.25">
      <c r="A65" s="135" t="s">
        <v>147</v>
      </c>
      <c r="B65" s="136">
        <v>2019</v>
      </c>
      <c r="C65" s="161">
        <v>28</v>
      </c>
      <c r="D65" s="135" t="s">
        <v>160</v>
      </c>
      <c r="E65" s="137">
        <v>0.70870544999999996</v>
      </c>
      <c r="F65" s="138">
        <v>0.16298229</v>
      </c>
      <c r="G65" s="137">
        <v>0.12831226000000001</v>
      </c>
      <c r="H65" s="162">
        <v>39599</v>
      </c>
      <c r="I65" s="163">
        <v>606</v>
      </c>
    </row>
    <row r="66" spans="1:9" ht="34.9" customHeight="1" x14ac:dyDescent="0.25">
      <c r="A66" s="135" t="s">
        <v>147</v>
      </c>
      <c r="B66" s="136">
        <v>2019</v>
      </c>
      <c r="C66" s="161">
        <v>29</v>
      </c>
      <c r="D66" s="135" t="s">
        <v>100</v>
      </c>
      <c r="E66" s="137">
        <v>0.60457684</v>
      </c>
      <c r="F66" s="138">
        <v>0.20320519000000001</v>
      </c>
      <c r="G66" s="137">
        <v>0.19221796999999999</v>
      </c>
      <c r="H66" s="162">
        <v>38352</v>
      </c>
      <c r="I66" s="163">
        <v>1939</v>
      </c>
    </row>
    <row r="67" spans="1:9" ht="34.9" customHeight="1" x14ac:dyDescent="0.25">
      <c r="A67" s="135" t="s">
        <v>159</v>
      </c>
      <c r="B67" s="136">
        <v>2019</v>
      </c>
      <c r="C67" s="161">
        <v>30</v>
      </c>
      <c r="D67" s="135" t="s">
        <v>60</v>
      </c>
      <c r="E67" s="137">
        <v>0.66217897000000003</v>
      </c>
      <c r="F67" s="138">
        <v>0.19832138999999999</v>
      </c>
      <c r="G67" s="137">
        <v>0.13949964000000001</v>
      </c>
      <c r="H67" s="162">
        <v>37070</v>
      </c>
      <c r="I67" s="163">
        <v>3169</v>
      </c>
    </row>
    <row r="68" spans="1:9" ht="16.899999999999999" customHeight="1" x14ac:dyDescent="0.25">
      <c r="A68" s="135" t="s">
        <v>147</v>
      </c>
      <c r="B68" s="136">
        <v>2019</v>
      </c>
      <c r="C68" s="161">
        <v>31</v>
      </c>
      <c r="D68" s="135" t="s">
        <v>61</v>
      </c>
      <c r="E68" s="137">
        <v>0.56357868</v>
      </c>
      <c r="F68" s="138">
        <v>0.24176168000000001</v>
      </c>
      <c r="G68" s="137">
        <v>0.19465963999999999</v>
      </c>
      <c r="H68" s="162">
        <v>39357</v>
      </c>
      <c r="I68" s="163">
        <v>837</v>
      </c>
    </row>
    <row r="69" spans="1:9" ht="16.899999999999999" customHeight="1" x14ac:dyDescent="0.25">
      <c r="A69" s="135" t="s">
        <v>147</v>
      </c>
      <c r="B69" s="136">
        <v>2019</v>
      </c>
      <c r="C69" s="161">
        <v>32</v>
      </c>
      <c r="D69" s="135" t="s">
        <v>102</v>
      </c>
      <c r="E69" s="137">
        <v>0.60239387</v>
      </c>
      <c r="F69" s="138">
        <v>0.24065476</v>
      </c>
      <c r="G69" s="137">
        <v>0.15695137000000001</v>
      </c>
      <c r="H69" s="162">
        <v>36150</v>
      </c>
      <c r="I69" s="163">
        <v>4050</v>
      </c>
    </row>
    <row r="70" spans="1:9" ht="34.9" customHeight="1" x14ac:dyDescent="0.25">
      <c r="A70" s="135" t="s">
        <v>161</v>
      </c>
      <c r="B70" s="136">
        <v>2019</v>
      </c>
      <c r="C70" s="161">
        <v>33</v>
      </c>
      <c r="D70" s="135" t="s">
        <v>162</v>
      </c>
      <c r="E70" s="137">
        <v>0.51597079999999995</v>
      </c>
      <c r="F70" s="138">
        <v>0.23135673000000001</v>
      </c>
      <c r="G70" s="137">
        <v>0.25267246999999998</v>
      </c>
      <c r="H70" s="162">
        <v>40013</v>
      </c>
      <c r="I70" s="163" t="s">
        <v>149</v>
      </c>
    </row>
    <row r="71" spans="1:9" ht="34.9" customHeight="1" x14ac:dyDescent="0.25">
      <c r="A71" s="135" t="s">
        <v>161</v>
      </c>
      <c r="B71" s="136">
        <v>2019</v>
      </c>
      <c r="C71" s="161">
        <v>34</v>
      </c>
      <c r="D71" s="135" t="s">
        <v>163</v>
      </c>
      <c r="E71" s="137">
        <v>0.55290302999999996</v>
      </c>
      <c r="F71" s="138">
        <v>0.21953084</v>
      </c>
      <c r="G71" s="137">
        <v>0.22756614</v>
      </c>
      <c r="H71" s="162">
        <v>40033</v>
      </c>
      <c r="I71" s="163" t="s">
        <v>149</v>
      </c>
    </row>
    <row r="72" spans="1:9" ht="34.9" customHeight="1" x14ac:dyDescent="0.25">
      <c r="A72" s="135" t="s">
        <v>161</v>
      </c>
      <c r="B72" s="136">
        <v>2019</v>
      </c>
      <c r="C72" s="161">
        <v>35</v>
      </c>
      <c r="D72" s="135" t="s">
        <v>164</v>
      </c>
      <c r="E72" s="137">
        <v>0.56112949999999995</v>
      </c>
      <c r="F72" s="138">
        <v>0.21572325000000001</v>
      </c>
      <c r="G72" s="137">
        <v>0.22314724999999999</v>
      </c>
      <c r="H72" s="162">
        <v>39984</v>
      </c>
      <c r="I72" s="163" t="s">
        <v>149</v>
      </c>
    </row>
    <row r="73" spans="1:9" ht="34.9" customHeight="1" x14ac:dyDescent="0.25">
      <c r="A73" s="135" t="s">
        <v>161</v>
      </c>
      <c r="B73" s="136">
        <v>2019</v>
      </c>
      <c r="C73" s="161">
        <v>36</v>
      </c>
      <c r="D73" s="135" t="s">
        <v>165</v>
      </c>
      <c r="E73" s="137">
        <v>0.68851865000000001</v>
      </c>
      <c r="F73" s="138">
        <v>0.16915631</v>
      </c>
      <c r="G73" s="137">
        <v>0.14232504000000001</v>
      </c>
      <c r="H73" s="162">
        <v>39954</v>
      </c>
      <c r="I73" s="163" t="s">
        <v>149</v>
      </c>
    </row>
    <row r="74" spans="1:9" ht="34.9" customHeight="1" x14ac:dyDescent="0.25">
      <c r="A74" s="135" t="s">
        <v>161</v>
      </c>
      <c r="B74" s="136">
        <v>2019</v>
      </c>
      <c r="C74" s="161">
        <v>37</v>
      </c>
      <c r="D74" s="135" t="s">
        <v>65</v>
      </c>
      <c r="E74" s="137">
        <v>0.61039768000000005</v>
      </c>
      <c r="F74" s="138">
        <v>0.16308984000000001</v>
      </c>
      <c r="G74" s="137">
        <v>0.22651247999999999</v>
      </c>
      <c r="H74" s="162">
        <v>39961</v>
      </c>
      <c r="I74" s="163" t="s">
        <v>149</v>
      </c>
    </row>
    <row r="75" spans="1:9" ht="34.9" customHeight="1" x14ac:dyDescent="0.25">
      <c r="A75" s="135" t="s">
        <v>161</v>
      </c>
      <c r="B75" s="136">
        <v>2019</v>
      </c>
      <c r="C75" s="161">
        <v>38</v>
      </c>
      <c r="D75" s="135" t="s">
        <v>166</v>
      </c>
      <c r="E75" s="137">
        <v>0.60854710999999995</v>
      </c>
      <c r="F75" s="138">
        <v>0.20715095</v>
      </c>
      <c r="G75" s="137">
        <v>0.18430194</v>
      </c>
      <c r="H75" s="162">
        <v>39666</v>
      </c>
      <c r="I75" s="163" t="s">
        <v>149</v>
      </c>
    </row>
    <row r="76" spans="1:9" ht="16.899999999999999" customHeight="1" x14ac:dyDescent="0.25">
      <c r="A76" s="135" t="s">
        <v>147</v>
      </c>
      <c r="B76" s="136">
        <v>2018</v>
      </c>
      <c r="C76" s="161">
        <v>1</v>
      </c>
      <c r="D76" s="135" t="s">
        <v>148</v>
      </c>
      <c r="E76" s="137">
        <v>0.62579227000000004</v>
      </c>
      <c r="F76" s="138">
        <v>0.16414873999999999</v>
      </c>
      <c r="G76" s="137">
        <v>0.21005898000000001</v>
      </c>
      <c r="H76" s="162">
        <v>41625</v>
      </c>
      <c r="I76" s="163" t="s">
        <v>149</v>
      </c>
    </row>
    <row r="77" spans="1:9" ht="16.899999999999999" customHeight="1" x14ac:dyDescent="0.25">
      <c r="A77" s="135" t="s">
        <v>147</v>
      </c>
      <c r="B77" s="136">
        <v>2018</v>
      </c>
      <c r="C77" s="161">
        <v>2</v>
      </c>
      <c r="D77" s="135" t="s">
        <v>18</v>
      </c>
      <c r="E77" s="137">
        <v>0.57493046999999997</v>
      </c>
      <c r="F77" s="138">
        <v>0.18730854</v>
      </c>
      <c r="G77" s="137">
        <v>0.23776098000000001</v>
      </c>
      <c r="H77" s="162">
        <v>41600</v>
      </c>
      <c r="I77" s="163" t="s">
        <v>149</v>
      </c>
    </row>
    <row r="78" spans="1:9" ht="16.899999999999999" customHeight="1" x14ac:dyDescent="0.25">
      <c r="A78" s="135" t="s">
        <v>147</v>
      </c>
      <c r="B78" s="136">
        <v>2018</v>
      </c>
      <c r="C78" s="161">
        <v>3</v>
      </c>
      <c r="D78" s="135" t="s">
        <v>20</v>
      </c>
      <c r="E78" s="137">
        <v>0.71254329999999999</v>
      </c>
      <c r="F78" s="138">
        <v>0.14839563</v>
      </c>
      <c r="G78" s="137">
        <v>0.13906107000000001</v>
      </c>
      <c r="H78" s="162">
        <v>41825</v>
      </c>
      <c r="I78" s="163" t="s">
        <v>149</v>
      </c>
    </row>
    <row r="79" spans="1:9" ht="16.899999999999999" customHeight="1" x14ac:dyDescent="0.25">
      <c r="A79" s="135" t="s">
        <v>147</v>
      </c>
      <c r="B79" s="136">
        <v>2018</v>
      </c>
      <c r="C79" s="161">
        <v>4</v>
      </c>
      <c r="D79" s="135" t="s">
        <v>24</v>
      </c>
      <c r="E79" s="137">
        <v>0.82400593</v>
      </c>
      <c r="F79" s="138">
        <v>9.2255580000000004E-2</v>
      </c>
      <c r="G79" s="137">
        <v>8.3738489999999999E-2</v>
      </c>
      <c r="H79" s="162">
        <v>41815</v>
      </c>
      <c r="I79" s="163" t="s">
        <v>149</v>
      </c>
    </row>
    <row r="80" spans="1:9" ht="16.899999999999999" customHeight="1" x14ac:dyDescent="0.25">
      <c r="A80" s="135" t="s">
        <v>147</v>
      </c>
      <c r="B80" s="136">
        <v>2018</v>
      </c>
      <c r="C80" s="161">
        <v>5</v>
      </c>
      <c r="D80" s="135" t="s">
        <v>150</v>
      </c>
      <c r="E80" s="137">
        <v>0.58429850999999999</v>
      </c>
      <c r="F80" s="138">
        <v>0.15783530000000001</v>
      </c>
      <c r="G80" s="137">
        <v>0.25786619</v>
      </c>
      <c r="H80" s="162">
        <v>41711</v>
      </c>
      <c r="I80" s="163">
        <v>83</v>
      </c>
    </row>
    <row r="81" spans="1:9" ht="16.899999999999999" customHeight="1" x14ac:dyDescent="0.25">
      <c r="A81" s="135" t="s">
        <v>147</v>
      </c>
      <c r="B81" s="136">
        <v>2018</v>
      </c>
      <c r="C81" s="161">
        <v>6</v>
      </c>
      <c r="D81" s="135" t="s">
        <v>151</v>
      </c>
      <c r="E81" s="137">
        <v>0.57882829000000002</v>
      </c>
      <c r="F81" s="138">
        <v>0.17907592</v>
      </c>
      <c r="G81" s="137">
        <v>0.24209578000000001</v>
      </c>
      <c r="H81" s="162">
        <v>41178</v>
      </c>
      <c r="I81" s="163">
        <v>189</v>
      </c>
    </row>
    <row r="82" spans="1:9" ht="16.899999999999999" customHeight="1" x14ac:dyDescent="0.25">
      <c r="A82" s="135" t="s">
        <v>147</v>
      </c>
      <c r="B82" s="136">
        <v>2018</v>
      </c>
      <c r="C82" s="161">
        <v>7</v>
      </c>
      <c r="D82" s="135" t="s">
        <v>152</v>
      </c>
      <c r="E82" s="137">
        <v>0.82992644000000004</v>
      </c>
      <c r="F82" s="138">
        <v>0.10172613</v>
      </c>
      <c r="G82" s="137">
        <v>6.8347439999999995E-2</v>
      </c>
      <c r="H82" s="162">
        <v>41635</v>
      </c>
      <c r="I82" s="163">
        <v>146</v>
      </c>
    </row>
    <row r="83" spans="1:9" ht="16.899999999999999" customHeight="1" x14ac:dyDescent="0.25">
      <c r="A83" s="135" t="s">
        <v>147</v>
      </c>
      <c r="B83" s="136">
        <v>2018</v>
      </c>
      <c r="C83" s="161">
        <v>8</v>
      </c>
      <c r="D83" s="135" t="s">
        <v>153</v>
      </c>
      <c r="E83" s="137">
        <v>0.68021524</v>
      </c>
      <c r="F83" s="138">
        <v>0.17165047</v>
      </c>
      <c r="G83" s="137">
        <v>0.14813429</v>
      </c>
      <c r="H83" s="162">
        <v>40001</v>
      </c>
      <c r="I83" s="163">
        <v>1837</v>
      </c>
    </row>
    <row r="84" spans="1:9" ht="16.899999999999999" customHeight="1" x14ac:dyDescent="0.25">
      <c r="A84" s="135" t="s">
        <v>147</v>
      </c>
      <c r="B84" s="136">
        <v>2018</v>
      </c>
      <c r="C84" s="161">
        <v>9</v>
      </c>
      <c r="D84" s="135" t="s">
        <v>154</v>
      </c>
      <c r="E84" s="137">
        <v>0.79041254999999999</v>
      </c>
      <c r="F84" s="138">
        <v>0.11019002999999999</v>
      </c>
      <c r="G84" s="137">
        <v>9.939742E-2</v>
      </c>
      <c r="H84" s="162">
        <v>41800</v>
      </c>
      <c r="I84" s="163" t="s">
        <v>149</v>
      </c>
    </row>
    <row r="85" spans="1:9" ht="16.899999999999999" customHeight="1" x14ac:dyDescent="0.25">
      <c r="A85" s="135" t="s">
        <v>147</v>
      </c>
      <c r="B85" s="136">
        <v>2018</v>
      </c>
      <c r="C85" s="161">
        <v>10</v>
      </c>
      <c r="D85" s="135" t="s">
        <v>42</v>
      </c>
      <c r="E85" s="137">
        <v>0.36216321000000001</v>
      </c>
      <c r="F85" s="138">
        <v>0.30154245000000002</v>
      </c>
      <c r="G85" s="137">
        <v>0.33629435000000002</v>
      </c>
      <c r="H85" s="162">
        <v>35662</v>
      </c>
      <c r="I85" s="163">
        <v>6165</v>
      </c>
    </row>
    <row r="86" spans="1:9" ht="16.899999999999999" customHeight="1" x14ac:dyDescent="0.25">
      <c r="A86" s="135" t="s">
        <v>147</v>
      </c>
      <c r="B86" s="136">
        <v>2018</v>
      </c>
      <c r="C86" s="161">
        <v>12</v>
      </c>
      <c r="D86" s="135" t="s">
        <v>155</v>
      </c>
      <c r="E86" s="137">
        <v>0.38241267000000001</v>
      </c>
      <c r="F86" s="138">
        <v>0.29816815000000002</v>
      </c>
      <c r="G86" s="137">
        <v>0.31941918000000002</v>
      </c>
      <c r="H86" s="162">
        <v>38038</v>
      </c>
      <c r="I86" s="163">
        <v>3795</v>
      </c>
    </row>
    <row r="87" spans="1:9" ht="34.9" customHeight="1" x14ac:dyDescent="0.25">
      <c r="A87" s="135" t="s">
        <v>147</v>
      </c>
      <c r="B87" s="136">
        <v>2018</v>
      </c>
      <c r="C87" s="161">
        <v>13</v>
      </c>
      <c r="D87" s="135" t="s">
        <v>156</v>
      </c>
      <c r="E87" s="137">
        <v>0.79695969</v>
      </c>
      <c r="F87" s="138">
        <v>0.11977763</v>
      </c>
      <c r="G87" s="137">
        <v>8.3262680000000006E-2</v>
      </c>
      <c r="H87" s="162">
        <v>41134</v>
      </c>
      <c r="I87" s="163">
        <v>683</v>
      </c>
    </row>
    <row r="88" spans="1:9" ht="16.899999999999999" customHeight="1" x14ac:dyDescent="0.25">
      <c r="A88" s="135" t="s">
        <v>147</v>
      </c>
      <c r="B88" s="136">
        <v>2018</v>
      </c>
      <c r="C88" s="161">
        <v>14</v>
      </c>
      <c r="D88" s="135" t="s">
        <v>45</v>
      </c>
      <c r="E88" s="137">
        <v>0.51922877999999995</v>
      </c>
      <c r="F88" s="138">
        <v>0.21765804</v>
      </c>
      <c r="G88" s="137">
        <v>0.26311318</v>
      </c>
      <c r="H88" s="162">
        <v>40262</v>
      </c>
      <c r="I88" s="163">
        <v>1209</v>
      </c>
    </row>
    <row r="89" spans="1:9" ht="16.899999999999999" customHeight="1" x14ac:dyDescent="0.25">
      <c r="A89" s="135" t="s">
        <v>147</v>
      </c>
      <c r="B89" s="136">
        <v>2018</v>
      </c>
      <c r="C89" s="161">
        <v>15</v>
      </c>
      <c r="D89" s="135" t="s">
        <v>46</v>
      </c>
      <c r="E89" s="137">
        <v>0.74421303000000005</v>
      </c>
      <c r="F89" s="138">
        <v>0.14098870999999999</v>
      </c>
      <c r="G89" s="137">
        <v>0.11479826999999999</v>
      </c>
      <c r="H89" s="162">
        <v>40685</v>
      </c>
      <c r="I89" s="163">
        <v>822</v>
      </c>
    </row>
    <row r="90" spans="1:9" ht="16.899999999999999" customHeight="1" x14ac:dyDescent="0.25">
      <c r="A90" s="135" t="s">
        <v>147</v>
      </c>
      <c r="B90" s="136">
        <v>2018</v>
      </c>
      <c r="C90" s="161">
        <v>16</v>
      </c>
      <c r="D90" s="135" t="s">
        <v>47</v>
      </c>
      <c r="E90" s="137">
        <v>0.71679771999999997</v>
      </c>
      <c r="F90" s="138">
        <v>0.18914028999999999</v>
      </c>
      <c r="G90" s="137">
        <v>9.4061989999999998E-2</v>
      </c>
      <c r="H90" s="162">
        <v>40126</v>
      </c>
      <c r="I90" s="163">
        <v>1277</v>
      </c>
    </row>
    <row r="91" spans="1:9" ht="16.899999999999999" customHeight="1" x14ac:dyDescent="0.25">
      <c r="A91" s="135" t="s">
        <v>147</v>
      </c>
      <c r="B91" s="136">
        <v>2018</v>
      </c>
      <c r="C91" s="161">
        <v>17</v>
      </c>
      <c r="D91" s="135" t="s">
        <v>157</v>
      </c>
      <c r="E91" s="137">
        <v>0.64467068000000005</v>
      </c>
      <c r="F91" s="138">
        <v>0.19602975</v>
      </c>
      <c r="G91" s="137">
        <v>0.15929956000000001</v>
      </c>
      <c r="H91" s="162">
        <v>41424</v>
      </c>
      <c r="I91" s="163" t="s">
        <v>149</v>
      </c>
    </row>
    <row r="92" spans="1:9" ht="16.899999999999999" customHeight="1" x14ac:dyDescent="0.25">
      <c r="A92" s="135" t="s">
        <v>147</v>
      </c>
      <c r="B92" s="136">
        <v>2018</v>
      </c>
      <c r="C92" s="161">
        <v>18</v>
      </c>
      <c r="D92" s="135" t="s">
        <v>158</v>
      </c>
      <c r="E92" s="137">
        <v>0.38719989999999999</v>
      </c>
      <c r="F92" s="138">
        <v>0.24905986999999999</v>
      </c>
      <c r="G92" s="137">
        <v>0.36374023</v>
      </c>
      <c r="H92" s="162">
        <v>39078</v>
      </c>
      <c r="I92" s="163">
        <v>2364</v>
      </c>
    </row>
    <row r="93" spans="1:9" ht="16.899999999999999" customHeight="1" x14ac:dyDescent="0.25">
      <c r="A93" s="135" t="s">
        <v>147</v>
      </c>
      <c r="B93" s="136">
        <v>2018</v>
      </c>
      <c r="C93" s="161">
        <v>19</v>
      </c>
      <c r="D93" s="135" t="s">
        <v>50</v>
      </c>
      <c r="E93" s="137">
        <v>0.84860363000000005</v>
      </c>
      <c r="F93" s="138">
        <v>7.7368259999999994E-2</v>
      </c>
      <c r="G93" s="137">
        <v>7.4028109999999994E-2</v>
      </c>
      <c r="H93" s="162">
        <v>41077</v>
      </c>
      <c r="I93" s="163">
        <v>253</v>
      </c>
    </row>
    <row r="94" spans="1:9" ht="16.899999999999999" customHeight="1" x14ac:dyDescent="0.25">
      <c r="A94" s="135" t="s">
        <v>147</v>
      </c>
      <c r="B94" s="136">
        <v>2018</v>
      </c>
      <c r="C94" s="161">
        <v>20</v>
      </c>
      <c r="D94" s="135" t="s">
        <v>51</v>
      </c>
      <c r="E94" s="137">
        <v>0.74966063000000005</v>
      </c>
      <c r="F94" s="138">
        <v>0.17466951</v>
      </c>
      <c r="G94" s="137">
        <v>7.5669860000000005E-2</v>
      </c>
      <c r="H94" s="162">
        <v>37910</v>
      </c>
      <c r="I94" s="163">
        <v>3367</v>
      </c>
    </row>
    <row r="95" spans="1:9" ht="16.899999999999999" customHeight="1" x14ac:dyDescent="0.25">
      <c r="A95" s="135" t="s">
        <v>147</v>
      </c>
      <c r="B95" s="136">
        <v>2018</v>
      </c>
      <c r="C95" s="161">
        <v>21</v>
      </c>
      <c r="D95" s="135" t="s">
        <v>52</v>
      </c>
      <c r="E95" s="137">
        <v>0.73120819999999997</v>
      </c>
      <c r="F95" s="138">
        <v>0.14365700000000001</v>
      </c>
      <c r="G95" s="137">
        <v>0.12513479999999999</v>
      </c>
      <c r="H95" s="162">
        <v>40552</v>
      </c>
      <c r="I95" s="163">
        <v>769</v>
      </c>
    </row>
    <row r="96" spans="1:9" ht="16.899999999999999" customHeight="1" x14ac:dyDescent="0.25">
      <c r="A96" s="135" t="s">
        <v>147</v>
      </c>
      <c r="B96" s="136">
        <v>2018</v>
      </c>
      <c r="C96" s="161">
        <v>22</v>
      </c>
      <c r="D96" s="135" t="s">
        <v>53</v>
      </c>
      <c r="E96" s="137">
        <v>0.81062548999999995</v>
      </c>
      <c r="F96" s="138">
        <v>9.2852249999999997E-2</v>
      </c>
      <c r="G96" s="137">
        <v>9.6522259999999999E-2</v>
      </c>
      <c r="H96" s="162">
        <v>41177</v>
      </c>
      <c r="I96" s="163" t="s">
        <v>149</v>
      </c>
    </row>
    <row r="97" spans="1:9" ht="16.899999999999999" customHeight="1" x14ac:dyDescent="0.25">
      <c r="A97" s="135" t="s">
        <v>147</v>
      </c>
      <c r="B97" s="136">
        <v>2018</v>
      </c>
      <c r="C97" s="161">
        <v>23</v>
      </c>
      <c r="D97" s="135" t="s">
        <v>54</v>
      </c>
      <c r="E97" s="137">
        <v>0.85190832000000005</v>
      </c>
      <c r="F97" s="138">
        <v>7.5495610000000005E-2</v>
      </c>
      <c r="G97" s="137">
        <v>7.2596079999999993E-2</v>
      </c>
      <c r="H97" s="162">
        <v>41221</v>
      </c>
      <c r="I97" s="163" t="s">
        <v>149</v>
      </c>
    </row>
    <row r="98" spans="1:9" ht="16.899999999999999" customHeight="1" x14ac:dyDescent="0.25">
      <c r="A98" s="135" t="s">
        <v>147</v>
      </c>
      <c r="B98" s="136">
        <v>2018</v>
      </c>
      <c r="C98" s="161">
        <v>24</v>
      </c>
      <c r="D98" s="135" t="s">
        <v>55</v>
      </c>
      <c r="E98" s="137">
        <v>0.73743621999999998</v>
      </c>
      <c r="F98" s="138">
        <v>0.13630997</v>
      </c>
      <c r="G98" s="137">
        <v>0.12625380999999999</v>
      </c>
      <c r="H98" s="162">
        <v>41199</v>
      </c>
      <c r="I98" s="163" t="s">
        <v>149</v>
      </c>
    </row>
    <row r="99" spans="1:9" ht="16.899999999999999" customHeight="1" x14ac:dyDescent="0.25">
      <c r="A99" s="135" t="s">
        <v>159</v>
      </c>
      <c r="B99" s="136">
        <v>2018</v>
      </c>
      <c r="C99" s="161">
        <v>25</v>
      </c>
      <c r="D99" s="135" t="s">
        <v>56</v>
      </c>
      <c r="E99" s="137">
        <v>0.78012287999999996</v>
      </c>
      <c r="F99" s="138">
        <v>0.13490413000000001</v>
      </c>
      <c r="G99" s="137">
        <v>8.4972980000000004E-2</v>
      </c>
      <c r="H99" s="162">
        <v>41135</v>
      </c>
      <c r="I99" s="163" t="s">
        <v>149</v>
      </c>
    </row>
    <row r="100" spans="1:9" ht="34.9" customHeight="1" x14ac:dyDescent="0.25">
      <c r="A100" s="135" t="s">
        <v>147</v>
      </c>
      <c r="B100" s="136">
        <v>2018</v>
      </c>
      <c r="C100" s="161">
        <v>26</v>
      </c>
      <c r="D100" s="135" t="s">
        <v>57</v>
      </c>
      <c r="E100" s="137">
        <v>0.41637751000000001</v>
      </c>
      <c r="F100" s="138">
        <v>0.24877308000000001</v>
      </c>
      <c r="G100" s="137">
        <v>0.33484941000000001</v>
      </c>
      <c r="H100" s="162">
        <v>39848</v>
      </c>
      <c r="I100" s="163">
        <v>1156</v>
      </c>
    </row>
    <row r="101" spans="1:9" ht="16.899999999999999" customHeight="1" x14ac:dyDescent="0.25">
      <c r="A101" s="135" t="s">
        <v>147</v>
      </c>
      <c r="B101" s="136">
        <v>2018</v>
      </c>
      <c r="C101" s="161">
        <v>27</v>
      </c>
      <c r="D101" s="135" t="s">
        <v>58</v>
      </c>
      <c r="E101" s="137">
        <v>0.51819802999999998</v>
      </c>
      <c r="F101" s="138">
        <v>0.25980489000000001</v>
      </c>
      <c r="G101" s="137">
        <v>0.22199708000000001</v>
      </c>
      <c r="H101" s="162">
        <v>37503</v>
      </c>
      <c r="I101" s="163">
        <v>3495</v>
      </c>
    </row>
    <row r="102" spans="1:9" ht="16.899999999999999" customHeight="1" x14ac:dyDescent="0.25">
      <c r="A102" s="135" t="s">
        <v>147</v>
      </c>
      <c r="B102" s="136">
        <v>2018</v>
      </c>
      <c r="C102" s="161">
        <v>28</v>
      </c>
      <c r="D102" s="135" t="s">
        <v>160</v>
      </c>
      <c r="E102" s="137">
        <v>0.69855113999999996</v>
      </c>
      <c r="F102" s="138">
        <v>0.16497487</v>
      </c>
      <c r="G102" s="137">
        <v>0.13647398999999999</v>
      </c>
      <c r="H102" s="162">
        <v>40260</v>
      </c>
      <c r="I102" s="163">
        <v>623</v>
      </c>
    </row>
    <row r="103" spans="1:9" ht="34.9" customHeight="1" x14ac:dyDescent="0.25">
      <c r="A103" s="135" t="s">
        <v>147</v>
      </c>
      <c r="B103" s="136">
        <v>2018</v>
      </c>
      <c r="C103" s="161">
        <v>29</v>
      </c>
      <c r="D103" s="135" t="s">
        <v>100</v>
      </c>
      <c r="E103" s="137">
        <v>0.59200158999999997</v>
      </c>
      <c r="F103" s="138">
        <v>0.20262453</v>
      </c>
      <c r="G103" s="137">
        <v>0.20537388000000001</v>
      </c>
      <c r="H103" s="162">
        <v>39068</v>
      </c>
      <c r="I103" s="163">
        <v>1947</v>
      </c>
    </row>
    <row r="104" spans="1:9" ht="34.9" customHeight="1" x14ac:dyDescent="0.25">
      <c r="A104" s="135" t="s">
        <v>159</v>
      </c>
      <c r="B104" s="136">
        <v>2018</v>
      </c>
      <c r="C104" s="161">
        <v>30</v>
      </c>
      <c r="D104" s="135" t="s">
        <v>60</v>
      </c>
      <c r="E104" s="137">
        <v>0.63931134999999994</v>
      </c>
      <c r="F104" s="138">
        <v>0.21047542999999999</v>
      </c>
      <c r="G104" s="137">
        <v>0.15021321000000001</v>
      </c>
      <c r="H104" s="162">
        <v>37882</v>
      </c>
      <c r="I104" s="163">
        <v>3091</v>
      </c>
    </row>
    <row r="105" spans="1:9" ht="16.899999999999999" customHeight="1" x14ac:dyDescent="0.25">
      <c r="A105" s="135" t="s">
        <v>147</v>
      </c>
      <c r="B105" s="136">
        <v>2018</v>
      </c>
      <c r="C105" s="161">
        <v>31</v>
      </c>
      <c r="D105" s="135" t="s">
        <v>61</v>
      </c>
      <c r="E105" s="137">
        <v>0.53853269000000004</v>
      </c>
      <c r="F105" s="138">
        <v>0.24930215999999999</v>
      </c>
      <c r="G105" s="137">
        <v>0.21216515999999999</v>
      </c>
      <c r="H105" s="162">
        <v>40113</v>
      </c>
      <c r="I105" s="163">
        <v>809</v>
      </c>
    </row>
    <row r="106" spans="1:9" ht="16.899999999999999" customHeight="1" x14ac:dyDescent="0.25">
      <c r="A106" s="135" t="s">
        <v>147</v>
      </c>
      <c r="B106" s="136">
        <v>2018</v>
      </c>
      <c r="C106" s="161">
        <v>32</v>
      </c>
      <c r="D106" s="135" t="s">
        <v>102</v>
      </c>
      <c r="E106" s="137">
        <v>0.59152081000000001</v>
      </c>
      <c r="F106" s="138">
        <v>0.25282524000000001</v>
      </c>
      <c r="G106" s="137">
        <v>0.15565395000000001</v>
      </c>
      <c r="H106" s="162">
        <v>36664</v>
      </c>
      <c r="I106" s="163">
        <v>4263</v>
      </c>
    </row>
    <row r="107" spans="1:9" ht="34.9" customHeight="1" x14ac:dyDescent="0.25">
      <c r="A107" s="135" t="s">
        <v>161</v>
      </c>
      <c r="B107" s="136">
        <v>2018</v>
      </c>
      <c r="C107" s="161">
        <v>33</v>
      </c>
      <c r="D107" s="135" t="s">
        <v>162</v>
      </c>
      <c r="E107" s="137">
        <v>0.49385948000000002</v>
      </c>
      <c r="F107" s="138">
        <v>0.23414466</v>
      </c>
      <c r="G107" s="137">
        <v>0.27199585999999998</v>
      </c>
      <c r="H107" s="162">
        <v>40786</v>
      </c>
      <c r="I107" s="163" t="s">
        <v>149</v>
      </c>
    </row>
    <row r="108" spans="1:9" ht="34.9" customHeight="1" x14ac:dyDescent="0.25">
      <c r="A108" s="135" t="s">
        <v>161</v>
      </c>
      <c r="B108" s="136">
        <v>2018</v>
      </c>
      <c r="C108" s="161">
        <v>34</v>
      </c>
      <c r="D108" s="135" t="s">
        <v>163</v>
      </c>
      <c r="E108" s="137">
        <v>0.53149212999999995</v>
      </c>
      <c r="F108" s="138">
        <v>0.22318292000000001</v>
      </c>
      <c r="G108" s="137">
        <v>0.24532495000000001</v>
      </c>
      <c r="H108" s="162">
        <v>40803</v>
      </c>
      <c r="I108" s="163" t="s">
        <v>149</v>
      </c>
    </row>
    <row r="109" spans="1:9" ht="34.9" customHeight="1" x14ac:dyDescent="0.25">
      <c r="A109" s="135" t="s">
        <v>161</v>
      </c>
      <c r="B109" s="136">
        <v>2018</v>
      </c>
      <c r="C109" s="161">
        <v>35</v>
      </c>
      <c r="D109" s="135" t="s">
        <v>164</v>
      </c>
      <c r="E109" s="137">
        <v>0.54355092999999999</v>
      </c>
      <c r="F109" s="138">
        <v>0.21844735000000001</v>
      </c>
      <c r="G109" s="137">
        <v>0.23800172</v>
      </c>
      <c r="H109" s="162">
        <v>40780</v>
      </c>
      <c r="I109" s="163" t="s">
        <v>149</v>
      </c>
    </row>
    <row r="110" spans="1:9" ht="34.9" customHeight="1" x14ac:dyDescent="0.25">
      <c r="A110" s="135" t="s">
        <v>161</v>
      </c>
      <c r="B110" s="136">
        <v>2018</v>
      </c>
      <c r="C110" s="161">
        <v>36</v>
      </c>
      <c r="D110" s="135" t="s">
        <v>165</v>
      </c>
      <c r="E110" s="137">
        <v>0.67981091999999999</v>
      </c>
      <c r="F110" s="138">
        <v>0.16930870000000001</v>
      </c>
      <c r="G110" s="137">
        <v>0.15088038000000001</v>
      </c>
      <c r="H110" s="162">
        <v>40761</v>
      </c>
      <c r="I110" s="163" t="s">
        <v>149</v>
      </c>
    </row>
    <row r="111" spans="1:9" ht="34.9" customHeight="1" x14ac:dyDescent="0.25">
      <c r="A111" s="135" t="s">
        <v>161</v>
      </c>
      <c r="B111" s="136">
        <v>2018</v>
      </c>
      <c r="C111" s="161">
        <v>37</v>
      </c>
      <c r="D111" s="135" t="s">
        <v>65</v>
      </c>
      <c r="E111" s="137">
        <v>0.58043792000000005</v>
      </c>
      <c r="F111" s="138">
        <v>0.16202026999999999</v>
      </c>
      <c r="G111" s="137">
        <v>0.25754181999999998</v>
      </c>
      <c r="H111" s="162">
        <v>40788</v>
      </c>
      <c r="I111" s="163" t="s">
        <v>149</v>
      </c>
    </row>
    <row r="112" spans="1:9" ht="34.9" customHeight="1" x14ac:dyDescent="0.25">
      <c r="A112" s="135" t="s">
        <v>161</v>
      </c>
      <c r="B112" s="136">
        <v>2018</v>
      </c>
      <c r="C112" s="161">
        <v>38</v>
      </c>
      <c r="D112" s="135" t="s">
        <v>166</v>
      </c>
      <c r="E112" s="137">
        <v>0.58278688999999995</v>
      </c>
      <c r="F112" s="138">
        <v>0.21583355000000001</v>
      </c>
      <c r="G112" s="137">
        <v>0.20137957000000001</v>
      </c>
      <c r="H112" s="162">
        <v>40516</v>
      </c>
      <c r="I112" s="163" t="s">
        <v>149</v>
      </c>
    </row>
    <row r="113" spans="1:9" ht="16.899999999999999" customHeight="1" x14ac:dyDescent="0.25">
      <c r="A113" s="135" t="s">
        <v>147</v>
      </c>
      <c r="B113" s="136">
        <v>2017</v>
      </c>
      <c r="C113" s="161">
        <v>1</v>
      </c>
      <c r="D113" s="135" t="s">
        <v>148</v>
      </c>
      <c r="E113" s="137">
        <v>0.62456126000000001</v>
      </c>
      <c r="F113" s="138">
        <v>0.16349213000000001</v>
      </c>
      <c r="G113" s="137">
        <v>0.21194661000000001</v>
      </c>
      <c r="H113" s="162">
        <v>46269</v>
      </c>
      <c r="I113" s="163" t="s">
        <v>149</v>
      </c>
    </row>
    <row r="114" spans="1:9" ht="16.899999999999999" customHeight="1" x14ac:dyDescent="0.25">
      <c r="A114" s="135" t="s">
        <v>147</v>
      </c>
      <c r="B114" s="136">
        <v>2017</v>
      </c>
      <c r="C114" s="161">
        <v>2</v>
      </c>
      <c r="D114" s="135" t="s">
        <v>18</v>
      </c>
      <c r="E114" s="137">
        <v>0.57688726000000001</v>
      </c>
      <c r="F114" s="138">
        <v>0.18974314</v>
      </c>
      <c r="G114" s="137">
        <v>0.23336960000000001</v>
      </c>
      <c r="H114" s="162">
        <v>45925</v>
      </c>
      <c r="I114" s="163" t="s">
        <v>149</v>
      </c>
    </row>
    <row r="115" spans="1:9" ht="16.899999999999999" customHeight="1" x14ac:dyDescent="0.25">
      <c r="A115" s="135" t="s">
        <v>147</v>
      </c>
      <c r="B115" s="136">
        <v>2017</v>
      </c>
      <c r="C115" s="161">
        <v>3</v>
      </c>
      <c r="D115" s="135" t="s">
        <v>20</v>
      </c>
      <c r="E115" s="137">
        <v>0.70520771999999998</v>
      </c>
      <c r="F115" s="138">
        <v>0.15177014</v>
      </c>
      <c r="G115" s="137">
        <v>0.14302214999999999</v>
      </c>
      <c r="H115" s="162">
        <v>46103</v>
      </c>
      <c r="I115" s="163" t="s">
        <v>149</v>
      </c>
    </row>
    <row r="116" spans="1:9" ht="16.899999999999999" customHeight="1" x14ac:dyDescent="0.25">
      <c r="A116" s="135" t="s">
        <v>147</v>
      </c>
      <c r="B116" s="136">
        <v>2017</v>
      </c>
      <c r="C116" s="161">
        <v>4</v>
      </c>
      <c r="D116" s="135" t="s">
        <v>24</v>
      </c>
      <c r="E116" s="137">
        <v>0.82313804000000002</v>
      </c>
      <c r="F116" s="138">
        <v>9.2698050000000004E-2</v>
      </c>
      <c r="G116" s="137">
        <v>8.41639E-2</v>
      </c>
      <c r="H116" s="162">
        <v>45867</v>
      </c>
      <c r="I116" s="163" t="s">
        <v>149</v>
      </c>
    </row>
    <row r="117" spans="1:9" ht="16.899999999999999" customHeight="1" x14ac:dyDescent="0.25">
      <c r="A117" s="135" t="s">
        <v>147</v>
      </c>
      <c r="B117" s="136">
        <v>2017</v>
      </c>
      <c r="C117" s="161">
        <v>5</v>
      </c>
      <c r="D117" s="135" t="s">
        <v>150</v>
      </c>
      <c r="E117" s="137">
        <v>0.59685785000000002</v>
      </c>
      <c r="F117" s="138">
        <v>0.15903666999999999</v>
      </c>
      <c r="G117" s="137">
        <v>0.24410548000000001</v>
      </c>
      <c r="H117" s="162">
        <v>45972</v>
      </c>
      <c r="I117" s="163">
        <v>111</v>
      </c>
    </row>
    <row r="118" spans="1:9" ht="16.899999999999999" customHeight="1" x14ac:dyDescent="0.25">
      <c r="A118" s="135" t="s">
        <v>147</v>
      </c>
      <c r="B118" s="136">
        <v>2017</v>
      </c>
      <c r="C118" s="161">
        <v>6</v>
      </c>
      <c r="D118" s="135" t="s">
        <v>151</v>
      </c>
      <c r="E118" s="137">
        <v>0.58326440000000002</v>
      </c>
      <c r="F118" s="138">
        <v>0.17702904999999999</v>
      </c>
      <c r="G118" s="137">
        <v>0.23970654999999999</v>
      </c>
      <c r="H118" s="162">
        <v>45258</v>
      </c>
      <c r="I118" s="163">
        <v>245</v>
      </c>
    </row>
    <row r="119" spans="1:9" ht="16.899999999999999" customHeight="1" x14ac:dyDescent="0.25">
      <c r="A119" s="135" t="s">
        <v>147</v>
      </c>
      <c r="B119" s="136">
        <v>2017</v>
      </c>
      <c r="C119" s="161">
        <v>7</v>
      </c>
      <c r="D119" s="135" t="s">
        <v>189</v>
      </c>
      <c r="E119" s="137">
        <v>0.82347645000000003</v>
      </c>
      <c r="F119" s="138">
        <v>0.10531066</v>
      </c>
      <c r="G119" s="137">
        <v>7.1212890000000001E-2</v>
      </c>
      <c r="H119" s="162">
        <v>45822</v>
      </c>
      <c r="I119" s="163">
        <v>210</v>
      </c>
    </row>
    <row r="120" spans="1:9" ht="16.899999999999999" customHeight="1" x14ac:dyDescent="0.25">
      <c r="A120" s="135" t="s">
        <v>147</v>
      </c>
      <c r="B120" s="136">
        <v>2017</v>
      </c>
      <c r="C120" s="161">
        <v>8</v>
      </c>
      <c r="D120" s="135" t="s">
        <v>153</v>
      </c>
      <c r="E120" s="137">
        <v>0.67710568000000004</v>
      </c>
      <c r="F120" s="138">
        <v>0.17448526</v>
      </c>
      <c r="G120" s="137">
        <v>0.14840907</v>
      </c>
      <c r="H120" s="162">
        <v>43850</v>
      </c>
      <c r="I120" s="163">
        <v>2097</v>
      </c>
    </row>
    <row r="121" spans="1:9" ht="16.899999999999999" customHeight="1" x14ac:dyDescent="0.25">
      <c r="A121" s="135" t="s">
        <v>147</v>
      </c>
      <c r="B121" s="136">
        <v>2017</v>
      </c>
      <c r="C121" s="161">
        <v>9</v>
      </c>
      <c r="D121" s="135" t="s">
        <v>154</v>
      </c>
      <c r="E121" s="137">
        <v>0.78209145000000002</v>
      </c>
      <c r="F121" s="138">
        <v>0.11161151</v>
      </c>
      <c r="G121" s="137">
        <v>0.10629704</v>
      </c>
      <c r="H121" s="162">
        <v>46222</v>
      </c>
      <c r="I121" s="163" t="s">
        <v>149</v>
      </c>
    </row>
    <row r="122" spans="1:9" ht="16.899999999999999" customHeight="1" x14ac:dyDescent="0.25">
      <c r="A122" s="135" t="s">
        <v>147</v>
      </c>
      <c r="B122" s="136">
        <v>2017</v>
      </c>
      <c r="C122" s="161">
        <v>10</v>
      </c>
      <c r="D122" s="135" t="s">
        <v>42</v>
      </c>
      <c r="E122" s="137">
        <v>0.36422288000000003</v>
      </c>
      <c r="F122" s="138">
        <v>0.29392010000000002</v>
      </c>
      <c r="G122" s="137">
        <v>0.34185702000000001</v>
      </c>
      <c r="H122" s="162">
        <v>39404</v>
      </c>
      <c r="I122" s="163">
        <v>6667</v>
      </c>
    </row>
    <row r="123" spans="1:9" ht="16.899999999999999" customHeight="1" x14ac:dyDescent="0.25">
      <c r="A123" s="135" t="s">
        <v>147</v>
      </c>
      <c r="B123" s="136">
        <v>2017</v>
      </c>
      <c r="C123" s="161">
        <v>12</v>
      </c>
      <c r="D123" s="135" t="s">
        <v>155</v>
      </c>
      <c r="E123" s="137">
        <v>0.38624249999999999</v>
      </c>
      <c r="F123" s="138">
        <v>0.29837492999999998</v>
      </c>
      <c r="G123" s="137">
        <v>0.31538256999999997</v>
      </c>
      <c r="H123" s="162">
        <v>41889</v>
      </c>
      <c r="I123" s="163">
        <v>4164</v>
      </c>
    </row>
    <row r="124" spans="1:9" ht="34.9" customHeight="1" x14ac:dyDescent="0.25">
      <c r="A124" s="135" t="s">
        <v>147</v>
      </c>
      <c r="B124" s="136">
        <v>2017</v>
      </c>
      <c r="C124" s="161">
        <v>13</v>
      </c>
      <c r="D124" s="135" t="s">
        <v>190</v>
      </c>
      <c r="E124" s="137">
        <v>0.66538553</v>
      </c>
      <c r="F124" s="138">
        <v>0.1827462</v>
      </c>
      <c r="G124" s="137">
        <v>0.15186827</v>
      </c>
      <c r="H124" s="162">
        <v>44474</v>
      </c>
      <c r="I124" s="163">
        <v>1116</v>
      </c>
    </row>
    <row r="125" spans="1:9" ht="16.899999999999999" customHeight="1" x14ac:dyDescent="0.25">
      <c r="A125" s="135" t="s">
        <v>147</v>
      </c>
      <c r="B125" s="136">
        <v>2017</v>
      </c>
      <c r="C125" s="161">
        <v>14</v>
      </c>
      <c r="D125" s="135" t="s">
        <v>45</v>
      </c>
      <c r="E125" s="137">
        <v>0.51349297999999999</v>
      </c>
      <c r="F125" s="138">
        <v>0.22109381</v>
      </c>
      <c r="G125" s="137">
        <v>0.26541321000000001</v>
      </c>
      <c r="H125" s="162">
        <v>44144</v>
      </c>
      <c r="I125" s="163">
        <v>1402</v>
      </c>
    </row>
    <row r="126" spans="1:9" ht="16.899999999999999" customHeight="1" x14ac:dyDescent="0.25">
      <c r="A126" s="135" t="s">
        <v>147</v>
      </c>
      <c r="B126" s="136">
        <v>2017</v>
      </c>
      <c r="C126" s="161">
        <v>15</v>
      </c>
      <c r="D126" s="135" t="s">
        <v>46</v>
      </c>
      <c r="E126" s="137">
        <v>0.75442509999999996</v>
      </c>
      <c r="F126" s="138">
        <v>0.14172735</v>
      </c>
      <c r="G126" s="137">
        <v>0.10384755</v>
      </c>
      <c r="H126" s="162">
        <v>44752</v>
      </c>
      <c r="I126" s="163">
        <v>838</v>
      </c>
    </row>
    <row r="127" spans="1:9" ht="16.899999999999999" customHeight="1" x14ac:dyDescent="0.25">
      <c r="A127" s="135" t="s">
        <v>147</v>
      </c>
      <c r="B127" s="136">
        <v>2017</v>
      </c>
      <c r="C127" s="161">
        <v>16</v>
      </c>
      <c r="D127" s="135" t="s">
        <v>47</v>
      </c>
      <c r="E127" s="137">
        <v>0.71992212</v>
      </c>
      <c r="F127" s="138">
        <v>0.18741642</v>
      </c>
      <c r="G127" s="137">
        <v>9.2661460000000001E-2</v>
      </c>
      <c r="H127" s="162">
        <v>44140</v>
      </c>
      <c r="I127" s="163">
        <v>1322</v>
      </c>
    </row>
    <row r="128" spans="1:9" ht="16.899999999999999" customHeight="1" x14ac:dyDescent="0.25">
      <c r="A128" s="135" t="s">
        <v>147</v>
      </c>
      <c r="B128" s="136">
        <v>2017</v>
      </c>
      <c r="C128" s="161">
        <v>17</v>
      </c>
      <c r="D128" s="135" t="s">
        <v>157</v>
      </c>
      <c r="E128" s="137">
        <v>0.64798924999999996</v>
      </c>
      <c r="F128" s="138">
        <v>0.19719102999999999</v>
      </c>
      <c r="G128" s="137">
        <v>0.15481971</v>
      </c>
      <c r="H128" s="162">
        <v>45567</v>
      </c>
      <c r="I128" s="163" t="s">
        <v>149</v>
      </c>
    </row>
    <row r="129" spans="1:9" ht="16.899999999999999" customHeight="1" x14ac:dyDescent="0.25">
      <c r="A129" s="135" t="s">
        <v>147</v>
      </c>
      <c r="B129" s="136">
        <v>2017</v>
      </c>
      <c r="C129" s="161">
        <v>18</v>
      </c>
      <c r="D129" s="135" t="s">
        <v>158</v>
      </c>
      <c r="E129" s="137">
        <v>0.38937249000000002</v>
      </c>
      <c r="F129" s="138">
        <v>0.25477315</v>
      </c>
      <c r="G129" s="137">
        <v>0.35585435999999998</v>
      </c>
      <c r="H129" s="162">
        <v>42817</v>
      </c>
      <c r="I129" s="163">
        <v>2856</v>
      </c>
    </row>
    <row r="130" spans="1:9" ht="16.899999999999999" customHeight="1" x14ac:dyDescent="0.25">
      <c r="A130" s="135" t="s">
        <v>147</v>
      </c>
      <c r="B130" s="136">
        <v>2017</v>
      </c>
      <c r="C130" s="161">
        <v>19</v>
      </c>
      <c r="D130" s="135" t="s">
        <v>50</v>
      </c>
      <c r="E130" s="137">
        <v>0.84909279000000004</v>
      </c>
      <c r="F130" s="138">
        <v>7.5992610000000002E-2</v>
      </c>
      <c r="G130" s="137">
        <v>7.4914610000000006E-2</v>
      </c>
      <c r="H130" s="162">
        <v>45286</v>
      </c>
      <c r="I130" s="163">
        <v>282</v>
      </c>
    </row>
    <row r="131" spans="1:9" ht="16.899999999999999" customHeight="1" x14ac:dyDescent="0.25">
      <c r="A131" s="135" t="s">
        <v>147</v>
      </c>
      <c r="B131" s="136">
        <v>2017</v>
      </c>
      <c r="C131" s="161">
        <v>20</v>
      </c>
      <c r="D131" s="135" t="s">
        <v>51</v>
      </c>
      <c r="E131" s="137">
        <v>0.75145784999999998</v>
      </c>
      <c r="F131" s="138">
        <v>0.17271091999999999</v>
      </c>
      <c r="G131" s="137">
        <v>7.5831229999999999E-2</v>
      </c>
      <c r="H131" s="162">
        <v>41555</v>
      </c>
      <c r="I131" s="163">
        <v>3764</v>
      </c>
    </row>
    <row r="132" spans="1:9" ht="16.899999999999999" customHeight="1" x14ac:dyDescent="0.25">
      <c r="A132" s="135" t="s">
        <v>147</v>
      </c>
      <c r="B132" s="136">
        <v>2017</v>
      </c>
      <c r="C132" s="161">
        <v>21</v>
      </c>
      <c r="D132" s="135" t="s">
        <v>52</v>
      </c>
      <c r="E132" s="137">
        <v>0.72803481000000003</v>
      </c>
      <c r="F132" s="138">
        <v>0.14474707000000001</v>
      </c>
      <c r="G132" s="137">
        <v>0.12721811999999999</v>
      </c>
      <c r="H132" s="162">
        <v>44594</v>
      </c>
      <c r="I132" s="163">
        <v>835</v>
      </c>
    </row>
    <row r="133" spans="1:9" ht="16.899999999999999" customHeight="1" x14ac:dyDescent="0.25">
      <c r="A133" s="135" t="s">
        <v>147</v>
      </c>
      <c r="B133" s="136">
        <v>2017</v>
      </c>
      <c r="C133" s="161">
        <v>22</v>
      </c>
      <c r="D133" s="135" t="s">
        <v>53</v>
      </c>
      <c r="E133" s="137">
        <v>0.80999332999999996</v>
      </c>
      <c r="F133" s="138">
        <v>9.4485429999999995E-2</v>
      </c>
      <c r="G133" s="137">
        <v>9.5521239999999993E-2</v>
      </c>
      <c r="H133" s="162">
        <v>45511</v>
      </c>
      <c r="I133" s="163" t="s">
        <v>149</v>
      </c>
    </row>
    <row r="134" spans="1:9" ht="16.899999999999999" customHeight="1" x14ac:dyDescent="0.25">
      <c r="A134" s="135" t="s">
        <v>147</v>
      </c>
      <c r="B134" s="136">
        <v>2017</v>
      </c>
      <c r="C134" s="161">
        <v>23</v>
      </c>
      <c r="D134" s="135" t="s">
        <v>54</v>
      </c>
      <c r="E134" s="137">
        <v>0.85115467</v>
      </c>
      <c r="F134" s="138">
        <v>7.6670420000000003E-2</v>
      </c>
      <c r="G134" s="137">
        <v>7.2174909999999995E-2</v>
      </c>
      <c r="H134" s="162">
        <v>45360</v>
      </c>
      <c r="I134" s="163" t="s">
        <v>149</v>
      </c>
    </row>
    <row r="135" spans="1:9" ht="16.899999999999999" customHeight="1" x14ac:dyDescent="0.25">
      <c r="A135" s="135" t="s">
        <v>147</v>
      </c>
      <c r="B135" s="136">
        <v>2017</v>
      </c>
      <c r="C135" s="161">
        <v>24</v>
      </c>
      <c r="D135" s="135" t="s">
        <v>55</v>
      </c>
      <c r="E135" s="137">
        <v>0.73710772999999996</v>
      </c>
      <c r="F135" s="138">
        <v>0.13660127</v>
      </c>
      <c r="G135" s="137">
        <v>0.12629099999999999</v>
      </c>
      <c r="H135" s="162">
        <v>45405</v>
      </c>
      <c r="I135" s="163" t="s">
        <v>149</v>
      </c>
    </row>
    <row r="136" spans="1:9" ht="16.899999999999999" customHeight="1" x14ac:dyDescent="0.25">
      <c r="A136" s="135" t="s">
        <v>159</v>
      </c>
      <c r="B136" s="136">
        <v>2017</v>
      </c>
      <c r="C136" s="161">
        <v>25</v>
      </c>
      <c r="D136" s="135" t="s">
        <v>56</v>
      </c>
      <c r="E136" s="137">
        <v>0.78027336000000003</v>
      </c>
      <c r="F136" s="138">
        <v>0.13340833999999999</v>
      </c>
      <c r="G136" s="137">
        <v>8.6318290000000006E-2</v>
      </c>
      <c r="H136" s="162">
        <v>45430</v>
      </c>
      <c r="I136" s="163" t="s">
        <v>149</v>
      </c>
    </row>
    <row r="137" spans="1:9" ht="34.9" customHeight="1" x14ac:dyDescent="0.25">
      <c r="A137" s="135" t="s">
        <v>147</v>
      </c>
      <c r="B137" s="136">
        <v>2017</v>
      </c>
      <c r="C137" s="161">
        <v>26</v>
      </c>
      <c r="D137" s="135" t="s">
        <v>57</v>
      </c>
      <c r="E137" s="137">
        <v>0.41787859999999999</v>
      </c>
      <c r="F137" s="138">
        <v>0.25314186</v>
      </c>
      <c r="G137" s="137">
        <v>0.32897954000000001</v>
      </c>
      <c r="H137" s="162">
        <v>43785</v>
      </c>
      <c r="I137" s="163">
        <v>1434</v>
      </c>
    </row>
    <row r="138" spans="1:9" ht="16.899999999999999" customHeight="1" x14ac:dyDescent="0.25">
      <c r="A138" s="135" t="s">
        <v>147</v>
      </c>
      <c r="B138" s="136">
        <v>2017</v>
      </c>
      <c r="C138" s="161">
        <v>27</v>
      </c>
      <c r="D138" s="135" t="s">
        <v>58</v>
      </c>
      <c r="E138" s="137">
        <v>0.52111618999999998</v>
      </c>
      <c r="F138" s="138">
        <v>0.26586200999999998</v>
      </c>
      <c r="G138" s="137">
        <v>0.21302180000000001</v>
      </c>
      <c r="H138" s="162">
        <v>41160</v>
      </c>
      <c r="I138" s="163">
        <v>3960</v>
      </c>
    </row>
    <row r="139" spans="1:9" ht="16.899999999999999" customHeight="1" x14ac:dyDescent="0.25">
      <c r="A139" s="135" t="s">
        <v>147</v>
      </c>
      <c r="B139" s="136">
        <v>2017</v>
      </c>
      <c r="C139" s="161">
        <v>28</v>
      </c>
      <c r="D139" s="135" t="s">
        <v>191</v>
      </c>
      <c r="E139" s="137">
        <v>0.69459203000000003</v>
      </c>
      <c r="F139" s="138">
        <v>0.16774075999999999</v>
      </c>
      <c r="G139" s="137">
        <v>0.13766721000000001</v>
      </c>
      <c r="H139" s="162">
        <v>44205</v>
      </c>
      <c r="I139" s="163">
        <v>756</v>
      </c>
    </row>
    <row r="140" spans="1:9" ht="34.9" customHeight="1" x14ac:dyDescent="0.25">
      <c r="A140" s="135" t="s">
        <v>147</v>
      </c>
      <c r="B140" s="136">
        <v>2017</v>
      </c>
      <c r="C140" s="161">
        <v>29</v>
      </c>
      <c r="D140" s="135" t="s">
        <v>100</v>
      </c>
      <c r="E140" s="137">
        <v>0.58727980999999996</v>
      </c>
      <c r="F140" s="138">
        <v>0.20884230000000001</v>
      </c>
      <c r="G140" s="137">
        <v>0.20387789000000001</v>
      </c>
      <c r="H140" s="162">
        <v>42775</v>
      </c>
      <c r="I140" s="163">
        <v>2200</v>
      </c>
    </row>
    <row r="141" spans="1:9" ht="34.9" customHeight="1" x14ac:dyDescent="0.25">
      <c r="A141" s="135" t="s">
        <v>159</v>
      </c>
      <c r="B141" s="136">
        <v>2017</v>
      </c>
      <c r="C141" s="161">
        <v>30</v>
      </c>
      <c r="D141" s="135" t="s">
        <v>60</v>
      </c>
      <c r="E141" s="137">
        <v>0.64304784000000004</v>
      </c>
      <c r="F141" s="138">
        <v>0.21108698000000001</v>
      </c>
      <c r="G141" s="137">
        <v>0.14586519000000001</v>
      </c>
      <c r="H141" s="162">
        <v>41453</v>
      </c>
      <c r="I141" s="163">
        <v>3672</v>
      </c>
    </row>
    <row r="142" spans="1:9" ht="16.899999999999999" customHeight="1" x14ac:dyDescent="0.25">
      <c r="A142" s="135" t="s">
        <v>147</v>
      </c>
      <c r="B142" s="136">
        <v>2017</v>
      </c>
      <c r="C142" s="161">
        <v>31</v>
      </c>
      <c r="D142" s="135" t="s">
        <v>61</v>
      </c>
      <c r="E142" s="137">
        <v>0.53479023999999997</v>
      </c>
      <c r="F142" s="138">
        <v>0.25270594000000002</v>
      </c>
      <c r="G142" s="137">
        <v>0.21250382000000001</v>
      </c>
      <c r="H142" s="162">
        <v>44053</v>
      </c>
      <c r="I142" s="163">
        <v>1052</v>
      </c>
    </row>
    <row r="143" spans="1:9" ht="16.899999999999999" customHeight="1" x14ac:dyDescent="0.25">
      <c r="A143" s="135" t="s">
        <v>147</v>
      </c>
      <c r="B143" s="136">
        <v>2017</v>
      </c>
      <c r="C143" s="161">
        <v>32</v>
      </c>
      <c r="D143" s="135" t="s">
        <v>102</v>
      </c>
      <c r="E143" s="137">
        <v>0.58755791999999996</v>
      </c>
      <c r="F143" s="138">
        <v>0.2573725</v>
      </c>
      <c r="G143" s="137">
        <v>0.15506958000000001</v>
      </c>
      <c r="H143" s="162">
        <v>39978</v>
      </c>
      <c r="I143" s="163">
        <v>5125</v>
      </c>
    </row>
    <row r="144" spans="1:9" ht="34.9" customHeight="1" x14ac:dyDescent="0.25">
      <c r="A144" s="135" t="s">
        <v>161</v>
      </c>
      <c r="B144" s="136">
        <v>2017</v>
      </c>
      <c r="C144" s="161">
        <v>33</v>
      </c>
      <c r="D144" s="135" t="s">
        <v>162</v>
      </c>
      <c r="E144" s="137">
        <v>0.50042222999999997</v>
      </c>
      <c r="F144" s="138">
        <v>0.2376518</v>
      </c>
      <c r="G144" s="137">
        <v>0.26192597000000001</v>
      </c>
      <c r="H144" s="162">
        <v>45022</v>
      </c>
      <c r="I144" s="163" t="s">
        <v>149</v>
      </c>
    </row>
    <row r="145" spans="1:9" ht="34.9" customHeight="1" x14ac:dyDescent="0.25">
      <c r="A145" s="135" t="s">
        <v>161</v>
      </c>
      <c r="B145" s="136">
        <v>2017</v>
      </c>
      <c r="C145" s="161">
        <v>34</v>
      </c>
      <c r="D145" s="135" t="s">
        <v>163</v>
      </c>
      <c r="E145" s="137">
        <v>0.53366261000000004</v>
      </c>
      <c r="F145" s="138">
        <v>0.2236727</v>
      </c>
      <c r="G145" s="137">
        <v>0.24266468999999999</v>
      </c>
      <c r="H145" s="162">
        <v>44940</v>
      </c>
      <c r="I145" s="163" t="s">
        <v>149</v>
      </c>
    </row>
    <row r="146" spans="1:9" ht="34.9" customHeight="1" x14ac:dyDescent="0.25">
      <c r="A146" s="135" t="s">
        <v>161</v>
      </c>
      <c r="B146" s="136">
        <v>2017</v>
      </c>
      <c r="C146" s="161">
        <v>35</v>
      </c>
      <c r="D146" s="135" t="s">
        <v>164</v>
      </c>
      <c r="E146" s="137">
        <v>0.54775841000000003</v>
      </c>
      <c r="F146" s="138">
        <v>0.21528716000000001</v>
      </c>
      <c r="G146" s="137">
        <v>0.23695442999999999</v>
      </c>
      <c r="H146" s="162">
        <v>44843</v>
      </c>
      <c r="I146" s="163" t="s">
        <v>149</v>
      </c>
    </row>
    <row r="147" spans="1:9" ht="34.9" customHeight="1" x14ac:dyDescent="0.25">
      <c r="A147" s="135" t="s">
        <v>161</v>
      </c>
      <c r="B147" s="136">
        <v>2017</v>
      </c>
      <c r="C147" s="161">
        <v>36</v>
      </c>
      <c r="D147" s="135" t="s">
        <v>165</v>
      </c>
      <c r="E147" s="137">
        <v>0.68091462000000003</v>
      </c>
      <c r="F147" s="138">
        <v>0.17255714999999999</v>
      </c>
      <c r="G147" s="137">
        <v>0.14652823000000001</v>
      </c>
      <c r="H147" s="162">
        <v>44880</v>
      </c>
      <c r="I147" s="163" t="s">
        <v>149</v>
      </c>
    </row>
    <row r="148" spans="1:9" ht="34.9" customHeight="1" x14ac:dyDescent="0.25">
      <c r="A148" s="135" t="s">
        <v>161</v>
      </c>
      <c r="B148" s="136">
        <v>2017</v>
      </c>
      <c r="C148" s="161">
        <v>37</v>
      </c>
      <c r="D148" s="135" t="s">
        <v>65</v>
      </c>
      <c r="E148" s="137">
        <v>0.58515481999999996</v>
      </c>
      <c r="F148" s="138">
        <v>0.16309981000000001</v>
      </c>
      <c r="G148" s="137">
        <v>0.25174537000000002</v>
      </c>
      <c r="H148" s="162">
        <v>44896</v>
      </c>
      <c r="I148" s="163" t="s">
        <v>149</v>
      </c>
    </row>
    <row r="149" spans="1:9" ht="34.9" customHeight="1" x14ac:dyDescent="0.25">
      <c r="A149" s="135" t="s">
        <v>161</v>
      </c>
      <c r="B149" s="136">
        <v>2017</v>
      </c>
      <c r="C149" s="161">
        <v>38</v>
      </c>
      <c r="D149" s="135" t="s">
        <v>166</v>
      </c>
      <c r="E149" s="137">
        <v>0.58652371000000003</v>
      </c>
      <c r="F149" s="138">
        <v>0.21801203999999999</v>
      </c>
      <c r="G149" s="137">
        <v>0.19546425000000001</v>
      </c>
      <c r="H149" s="162">
        <v>44906</v>
      </c>
      <c r="I149" s="163" t="s">
        <v>149</v>
      </c>
    </row>
    <row r="150" spans="1:9" ht="16.899999999999999" customHeight="1" x14ac:dyDescent="0.25">
      <c r="A150" s="135" t="s">
        <v>147</v>
      </c>
      <c r="B150" s="136">
        <v>2016</v>
      </c>
      <c r="C150" s="161">
        <v>1</v>
      </c>
      <c r="D150" s="135" t="s">
        <v>148</v>
      </c>
      <c r="E150" s="137">
        <v>0.60954355000000005</v>
      </c>
      <c r="F150" s="138">
        <v>0.16620834000000001</v>
      </c>
      <c r="G150" s="137">
        <v>0.22424811</v>
      </c>
      <c r="H150" s="162">
        <v>45384</v>
      </c>
      <c r="I150" s="163" t="s">
        <v>149</v>
      </c>
    </row>
    <row r="151" spans="1:9" ht="16.899999999999999" customHeight="1" x14ac:dyDescent="0.25">
      <c r="A151" s="135" t="s">
        <v>147</v>
      </c>
      <c r="B151" s="136">
        <v>2016</v>
      </c>
      <c r="C151" s="161">
        <v>2</v>
      </c>
      <c r="D151" s="135" t="s">
        <v>18</v>
      </c>
      <c r="E151" s="137">
        <v>0.56099310999999996</v>
      </c>
      <c r="F151" s="138">
        <v>0.19022717</v>
      </c>
      <c r="G151" s="137">
        <v>0.24877972000000001</v>
      </c>
      <c r="H151" s="162">
        <v>44808</v>
      </c>
      <c r="I151" s="163" t="s">
        <v>149</v>
      </c>
    </row>
    <row r="152" spans="1:9" ht="16.899999999999999" customHeight="1" x14ac:dyDescent="0.25">
      <c r="A152" s="135" t="s">
        <v>147</v>
      </c>
      <c r="B152" s="136">
        <v>2016</v>
      </c>
      <c r="C152" s="161">
        <v>3</v>
      </c>
      <c r="D152" s="135" t="s">
        <v>20</v>
      </c>
      <c r="E152" s="137">
        <v>0.70307914999999999</v>
      </c>
      <c r="F152" s="138">
        <v>0.14695697999999999</v>
      </c>
      <c r="G152" s="137">
        <v>0.14996387999999999</v>
      </c>
      <c r="H152" s="162">
        <v>45169</v>
      </c>
      <c r="I152" s="163" t="s">
        <v>149</v>
      </c>
    </row>
    <row r="153" spans="1:9" ht="16.899999999999999" customHeight="1" x14ac:dyDescent="0.25">
      <c r="A153" s="135" t="s">
        <v>147</v>
      </c>
      <c r="B153" s="136">
        <v>2016</v>
      </c>
      <c r="C153" s="161">
        <v>4</v>
      </c>
      <c r="D153" s="135" t="s">
        <v>24</v>
      </c>
      <c r="E153" s="137">
        <v>0.81361128999999999</v>
      </c>
      <c r="F153" s="138">
        <v>9.6579090000000006E-2</v>
      </c>
      <c r="G153" s="137">
        <v>8.9809609999999998E-2</v>
      </c>
      <c r="H153" s="162">
        <v>44883</v>
      </c>
      <c r="I153" s="163" t="s">
        <v>149</v>
      </c>
    </row>
    <row r="154" spans="1:9" ht="16.899999999999999" customHeight="1" x14ac:dyDescent="0.25">
      <c r="A154" s="135" t="s">
        <v>147</v>
      </c>
      <c r="B154" s="136">
        <v>2016</v>
      </c>
      <c r="C154" s="161">
        <v>5</v>
      </c>
      <c r="D154" s="135" t="s">
        <v>150</v>
      </c>
      <c r="E154" s="137">
        <v>0.57652698000000002</v>
      </c>
      <c r="F154" s="138">
        <v>0.15867935</v>
      </c>
      <c r="G154" s="137">
        <v>0.26479365999999999</v>
      </c>
      <c r="H154" s="162">
        <v>44959</v>
      </c>
      <c r="I154" s="163">
        <v>110</v>
      </c>
    </row>
    <row r="155" spans="1:9" ht="16.899999999999999" customHeight="1" x14ac:dyDescent="0.25">
      <c r="A155" s="135" t="s">
        <v>147</v>
      </c>
      <c r="B155" s="136">
        <v>2016</v>
      </c>
      <c r="C155" s="161">
        <v>6</v>
      </c>
      <c r="D155" s="135" t="s">
        <v>151</v>
      </c>
      <c r="E155" s="137">
        <v>0.56985476000000002</v>
      </c>
      <c r="F155" s="138">
        <v>0.17776227</v>
      </c>
      <c r="G155" s="137">
        <v>0.25238296999999998</v>
      </c>
      <c r="H155" s="162">
        <v>43802</v>
      </c>
      <c r="I155" s="163">
        <v>249</v>
      </c>
    </row>
    <row r="156" spans="1:9" ht="16.899999999999999" customHeight="1" x14ac:dyDescent="0.25">
      <c r="A156" s="135" t="s">
        <v>147</v>
      </c>
      <c r="B156" s="136">
        <v>2016</v>
      </c>
      <c r="C156" s="161">
        <v>7</v>
      </c>
      <c r="D156" s="135" t="s">
        <v>189</v>
      </c>
      <c r="E156" s="137">
        <v>0.81245266000000005</v>
      </c>
      <c r="F156" s="138">
        <v>0.10803248</v>
      </c>
      <c r="G156" s="137">
        <v>7.9514860000000007E-2</v>
      </c>
      <c r="H156" s="162">
        <v>44864</v>
      </c>
      <c r="I156" s="163">
        <v>218</v>
      </c>
    </row>
    <row r="157" spans="1:9" ht="16.899999999999999" customHeight="1" x14ac:dyDescent="0.25">
      <c r="A157" s="135" t="s">
        <v>147</v>
      </c>
      <c r="B157" s="136">
        <v>2016</v>
      </c>
      <c r="C157" s="161">
        <v>8</v>
      </c>
      <c r="D157" s="135" t="s">
        <v>153</v>
      </c>
      <c r="E157" s="137">
        <v>0.66365183999999999</v>
      </c>
      <c r="F157" s="138">
        <v>0.17379028999999999</v>
      </c>
      <c r="G157" s="137">
        <v>0.16255786999999999</v>
      </c>
      <c r="H157" s="162">
        <v>43006</v>
      </c>
      <c r="I157" s="163">
        <v>2056</v>
      </c>
    </row>
    <row r="158" spans="1:9" ht="16.899999999999999" customHeight="1" x14ac:dyDescent="0.25">
      <c r="A158" s="135" t="s">
        <v>147</v>
      </c>
      <c r="B158" s="136">
        <v>2016</v>
      </c>
      <c r="C158" s="161">
        <v>9</v>
      </c>
      <c r="D158" s="135" t="s">
        <v>154</v>
      </c>
      <c r="E158" s="137">
        <v>0.77186191000000004</v>
      </c>
      <c r="F158" s="138">
        <v>0.11611209</v>
      </c>
      <c r="G158" s="137">
        <v>0.112026</v>
      </c>
      <c r="H158" s="162">
        <v>45391</v>
      </c>
      <c r="I158" s="163" t="s">
        <v>149</v>
      </c>
    </row>
    <row r="159" spans="1:9" ht="16.899999999999999" customHeight="1" x14ac:dyDescent="0.25">
      <c r="A159" s="135" t="s">
        <v>147</v>
      </c>
      <c r="B159" s="136">
        <v>2016</v>
      </c>
      <c r="C159" s="161">
        <v>10</v>
      </c>
      <c r="D159" s="135" t="s">
        <v>42</v>
      </c>
      <c r="E159" s="137">
        <v>0.34852455999999998</v>
      </c>
      <c r="F159" s="138">
        <v>0.29822570999999998</v>
      </c>
      <c r="G159" s="137">
        <v>0.35324972999999998</v>
      </c>
      <c r="H159" s="162">
        <v>38476</v>
      </c>
      <c r="I159" s="163">
        <v>6629</v>
      </c>
    </row>
    <row r="160" spans="1:9" ht="16.899999999999999" customHeight="1" x14ac:dyDescent="0.25">
      <c r="A160" s="135" t="s">
        <v>147</v>
      </c>
      <c r="B160" s="136">
        <v>2016</v>
      </c>
      <c r="C160" s="161">
        <v>12</v>
      </c>
      <c r="D160" s="135" t="s">
        <v>155</v>
      </c>
      <c r="E160" s="137">
        <v>0.3692626</v>
      </c>
      <c r="F160" s="138">
        <v>0.29531162</v>
      </c>
      <c r="G160" s="137">
        <v>0.33542578000000001</v>
      </c>
      <c r="H160" s="162">
        <v>41142</v>
      </c>
      <c r="I160" s="163">
        <v>4034</v>
      </c>
    </row>
    <row r="161" spans="1:9" ht="34.9" customHeight="1" x14ac:dyDescent="0.25">
      <c r="A161" s="135" t="s">
        <v>147</v>
      </c>
      <c r="B161" s="136">
        <v>2016</v>
      </c>
      <c r="C161" s="161">
        <v>13</v>
      </c>
      <c r="D161" s="135" t="s">
        <v>190</v>
      </c>
      <c r="E161" s="137">
        <v>0.64474374999999995</v>
      </c>
      <c r="F161" s="138">
        <v>0.18666068999999999</v>
      </c>
      <c r="G161" s="137">
        <v>0.16859556000000001</v>
      </c>
      <c r="H161" s="162">
        <v>43584</v>
      </c>
      <c r="I161" s="163">
        <v>1065</v>
      </c>
    </row>
    <row r="162" spans="1:9" ht="16.899999999999999" customHeight="1" x14ac:dyDescent="0.25">
      <c r="A162" s="135" t="s">
        <v>147</v>
      </c>
      <c r="B162" s="136">
        <v>2016</v>
      </c>
      <c r="C162" s="161">
        <v>14</v>
      </c>
      <c r="D162" s="135" t="s">
        <v>45</v>
      </c>
      <c r="E162" s="137">
        <v>0.48733991999999998</v>
      </c>
      <c r="F162" s="138">
        <v>0.2233347</v>
      </c>
      <c r="G162" s="137">
        <v>0.28932539000000002</v>
      </c>
      <c r="H162" s="162">
        <v>43282</v>
      </c>
      <c r="I162" s="163">
        <v>1281</v>
      </c>
    </row>
    <row r="163" spans="1:9" ht="16.899999999999999" customHeight="1" x14ac:dyDescent="0.25">
      <c r="A163" s="135" t="s">
        <v>147</v>
      </c>
      <c r="B163" s="136">
        <v>2016</v>
      </c>
      <c r="C163" s="161">
        <v>15</v>
      </c>
      <c r="D163" s="135" t="s">
        <v>46</v>
      </c>
      <c r="E163" s="137">
        <v>0.74590164000000003</v>
      </c>
      <c r="F163" s="138">
        <v>0.14445992999999999</v>
      </c>
      <c r="G163" s="137">
        <v>0.10963844</v>
      </c>
      <c r="H163" s="162">
        <v>43758</v>
      </c>
      <c r="I163" s="163">
        <v>836</v>
      </c>
    </row>
    <row r="164" spans="1:9" ht="16.899999999999999" customHeight="1" x14ac:dyDescent="0.25">
      <c r="A164" s="135" t="s">
        <v>147</v>
      </c>
      <c r="B164" s="136">
        <v>2016</v>
      </c>
      <c r="C164" s="161">
        <v>16</v>
      </c>
      <c r="D164" s="135" t="s">
        <v>47</v>
      </c>
      <c r="E164" s="137">
        <v>0.68538038999999995</v>
      </c>
      <c r="F164" s="138">
        <v>0.20178668</v>
      </c>
      <c r="G164" s="137">
        <v>0.11283293</v>
      </c>
      <c r="H164" s="162">
        <v>43213</v>
      </c>
      <c r="I164" s="163">
        <v>1373</v>
      </c>
    </row>
    <row r="165" spans="1:9" ht="16.899999999999999" customHeight="1" x14ac:dyDescent="0.25">
      <c r="A165" s="135" t="s">
        <v>147</v>
      </c>
      <c r="B165" s="136">
        <v>2016</v>
      </c>
      <c r="C165" s="161">
        <v>17</v>
      </c>
      <c r="D165" s="135" t="s">
        <v>157</v>
      </c>
      <c r="E165" s="137">
        <v>0.62194870999999996</v>
      </c>
      <c r="F165" s="138">
        <v>0.20167669999999999</v>
      </c>
      <c r="G165" s="137">
        <v>0.17637459</v>
      </c>
      <c r="H165" s="162">
        <v>44608</v>
      </c>
      <c r="I165" s="163" t="s">
        <v>149</v>
      </c>
    </row>
    <row r="166" spans="1:9" ht="16.899999999999999" customHeight="1" x14ac:dyDescent="0.25">
      <c r="A166" s="135" t="s">
        <v>147</v>
      </c>
      <c r="B166" s="136">
        <v>2016</v>
      </c>
      <c r="C166" s="161">
        <v>18</v>
      </c>
      <c r="D166" s="135" t="s">
        <v>158</v>
      </c>
      <c r="E166" s="137">
        <v>0.37639392999999999</v>
      </c>
      <c r="F166" s="138">
        <v>0.25652650999999999</v>
      </c>
      <c r="G166" s="137">
        <v>0.36707956000000003</v>
      </c>
      <c r="H166" s="162">
        <v>41802</v>
      </c>
      <c r="I166" s="163">
        <v>2926</v>
      </c>
    </row>
    <row r="167" spans="1:9" ht="16.899999999999999" customHeight="1" x14ac:dyDescent="0.25">
      <c r="A167" s="135" t="s">
        <v>147</v>
      </c>
      <c r="B167" s="136">
        <v>2016</v>
      </c>
      <c r="C167" s="161">
        <v>19</v>
      </c>
      <c r="D167" s="135" t="s">
        <v>50</v>
      </c>
      <c r="E167" s="137">
        <v>0.83428862000000004</v>
      </c>
      <c r="F167" s="138">
        <v>8.1206609999999999E-2</v>
      </c>
      <c r="G167" s="137">
        <v>8.4504770000000007E-2</v>
      </c>
      <c r="H167" s="162">
        <v>44279</v>
      </c>
      <c r="I167" s="163">
        <v>325</v>
      </c>
    </row>
    <row r="168" spans="1:9" ht="16.899999999999999" customHeight="1" x14ac:dyDescent="0.25">
      <c r="A168" s="135" t="s">
        <v>147</v>
      </c>
      <c r="B168" s="136">
        <v>2016</v>
      </c>
      <c r="C168" s="161">
        <v>20</v>
      </c>
      <c r="D168" s="135" t="s">
        <v>51</v>
      </c>
      <c r="E168" s="137">
        <v>0.7350255</v>
      </c>
      <c r="F168" s="138">
        <v>0.18406562000000001</v>
      </c>
      <c r="G168" s="137">
        <v>8.0908880000000002E-2</v>
      </c>
      <c r="H168" s="162">
        <v>40525</v>
      </c>
      <c r="I168" s="163">
        <v>3846</v>
      </c>
    </row>
    <row r="169" spans="1:9" ht="16.899999999999999" customHeight="1" x14ac:dyDescent="0.25">
      <c r="A169" s="135" t="s">
        <v>147</v>
      </c>
      <c r="B169" s="136">
        <v>2016</v>
      </c>
      <c r="C169" s="161">
        <v>21</v>
      </c>
      <c r="D169" s="135" t="s">
        <v>52</v>
      </c>
      <c r="E169" s="137">
        <v>0.70932154999999997</v>
      </c>
      <c r="F169" s="138">
        <v>0.15032043</v>
      </c>
      <c r="G169" s="137">
        <v>0.14035802</v>
      </c>
      <c r="H169" s="162">
        <v>43529</v>
      </c>
      <c r="I169" s="163">
        <v>953</v>
      </c>
    </row>
    <row r="170" spans="1:9" ht="16.899999999999999" customHeight="1" x14ac:dyDescent="0.25">
      <c r="A170" s="135" t="s">
        <v>147</v>
      </c>
      <c r="B170" s="136">
        <v>2016</v>
      </c>
      <c r="C170" s="161">
        <v>22</v>
      </c>
      <c r="D170" s="135" t="s">
        <v>53</v>
      </c>
      <c r="E170" s="137">
        <v>0.79750863999999999</v>
      </c>
      <c r="F170" s="138">
        <v>9.8010189999999997E-2</v>
      </c>
      <c r="G170" s="137">
        <v>0.10448117</v>
      </c>
      <c r="H170" s="162">
        <v>44483</v>
      </c>
      <c r="I170" s="163" t="s">
        <v>149</v>
      </c>
    </row>
    <row r="171" spans="1:9" ht="16.899999999999999" customHeight="1" x14ac:dyDescent="0.25">
      <c r="A171" s="135" t="s">
        <v>147</v>
      </c>
      <c r="B171" s="136">
        <v>2016</v>
      </c>
      <c r="C171" s="161">
        <v>23</v>
      </c>
      <c r="D171" s="135" t="s">
        <v>54</v>
      </c>
      <c r="E171" s="137">
        <v>0.83816528999999995</v>
      </c>
      <c r="F171" s="138">
        <v>8.1748699999999994E-2</v>
      </c>
      <c r="G171" s="137">
        <v>8.0086009999999999E-2</v>
      </c>
      <c r="H171" s="162">
        <v>44316</v>
      </c>
      <c r="I171" s="163" t="s">
        <v>149</v>
      </c>
    </row>
    <row r="172" spans="1:9" ht="16.899999999999999" customHeight="1" x14ac:dyDescent="0.25">
      <c r="A172" s="135" t="s">
        <v>147</v>
      </c>
      <c r="B172" s="136">
        <v>2016</v>
      </c>
      <c r="C172" s="161">
        <v>24</v>
      </c>
      <c r="D172" s="135" t="s">
        <v>55</v>
      </c>
      <c r="E172" s="137">
        <v>0.71839021999999997</v>
      </c>
      <c r="F172" s="138">
        <v>0.14063342000000001</v>
      </c>
      <c r="G172" s="137">
        <v>0.14097636</v>
      </c>
      <c r="H172" s="162">
        <v>44401</v>
      </c>
      <c r="I172" s="163" t="s">
        <v>149</v>
      </c>
    </row>
    <row r="173" spans="1:9" ht="16.899999999999999" customHeight="1" x14ac:dyDescent="0.25">
      <c r="A173" s="135" t="s">
        <v>159</v>
      </c>
      <c r="B173" s="136">
        <v>2016</v>
      </c>
      <c r="C173" s="161">
        <v>25</v>
      </c>
      <c r="D173" s="135" t="s">
        <v>56</v>
      </c>
      <c r="E173" s="137">
        <v>0.76647317999999998</v>
      </c>
      <c r="F173" s="138">
        <v>0.13853945000000001</v>
      </c>
      <c r="G173" s="137">
        <v>9.4987360000000007E-2</v>
      </c>
      <c r="H173" s="162">
        <v>44399</v>
      </c>
      <c r="I173" s="163" t="s">
        <v>149</v>
      </c>
    </row>
    <row r="174" spans="1:9" ht="34.9" customHeight="1" x14ac:dyDescent="0.25">
      <c r="A174" s="135" t="s">
        <v>147</v>
      </c>
      <c r="B174" s="136">
        <v>2016</v>
      </c>
      <c r="C174" s="161">
        <v>26</v>
      </c>
      <c r="D174" s="135" t="s">
        <v>57</v>
      </c>
      <c r="E174" s="137">
        <v>0.40633141</v>
      </c>
      <c r="F174" s="138">
        <v>0.24391739000000001</v>
      </c>
      <c r="G174" s="137">
        <v>0.34975119999999998</v>
      </c>
      <c r="H174" s="162">
        <v>43152</v>
      </c>
      <c r="I174" s="163">
        <v>1075</v>
      </c>
    </row>
    <row r="175" spans="1:9" ht="16.899999999999999" customHeight="1" x14ac:dyDescent="0.25">
      <c r="A175" s="135" t="s">
        <v>147</v>
      </c>
      <c r="B175" s="136">
        <v>2016</v>
      </c>
      <c r="C175" s="161">
        <v>27</v>
      </c>
      <c r="D175" s="135" t="s">
        <v>58</v>
      </c>
      <c r="E175" s="137">
        <v>0.49908671999999998</v>
      </c>
      <c r="F175" s="138">
        <v>0.26004912000000002</v>
      </c>
      <c r="G175" s="137">
        <v>0.24086415999999999</v>
      </c>
      <c r="H175" s="162">
        <v>40535</v>
      </c>
      <c r="I175" s="163">
        <v>3611</v>
      </c>
    </row>
    <row r="176" spans="1:9" ht="16.899999999999999" customHeight="1" x14ac:dyDescent="0.25">
      <c r="A176" s="135" t="s">
        <v>147</v>
      </c>
      <c r="B176" s="136">
        <v>2016</v>
      </c>
      <c r="C176" s="161">
        <v>28</v>
      </c>
      <c r="D176" s="135" t="s">
        <v>191</v>
      </c>
      <c r="E176" s="137">
        <v>0.68356035000000004</v>
      </c>
      <c r="F176" s="138">
        <v>0.16999685</v>
      </c>
      <c r="G176" s="137">
        <v>0.14644280000000001</v>
      </c>
      <c r="H176" s="162">
        <v>43404</v>
      </c>
      <c r="I176" s="163">
        <v>558</v>
      </c>
    </row>
    <row r="177" spans="1:9" ht="34.9" customHeight="1" x14ac:dyDescent="0.25">
      <c r="A177" s="135" t="s">
        <v>147</v>
      </c>
      <c r="B177" s="136">
        <v>2016</v>
      </c>
      <c r="C177" s="161">
        <v>29</v>
      </c>
      <c r="D177" s="135" t="s">
        <v>100</v>
      </c>
      <c r="E177" s="137">
        <v>0.56300384000000003</v>
      </c>
      <c r="F177" s="138">
        <v>0.21353401</v>
      </c>
      <c r="G177" s="137">
        <v>0.22346215</v>
      </c>
      <c r="H177" s="162">
        <v>41885</v>
      </c>
      <c r="I177" s="163">
        <v>2132</v>
      </c>
    </row>
    <row r="178" spans="1:9" ht="34.9" customHeight="1" x14ac:dyDescent="0.25">
      <c r="A178" s="135" t="s">
        <v>159</v>
      </c>
      <c r="B178" s="136">
        <v>2016</v>
      </c>
      <c r="C178" s="161">
        <v>30</v>
      </c>
      <c r="D178" s="135" t="s">
        <v>60</v>
      </c>
      <c r="E178" s="137">
        <v>0.62164171999999995</v>
      </c>
      <c r="F178" s="138">
        <v>0.21437431000000001</v>
      </c>
      <c r="G178" s="137">
        <v>0.16398397000000001</v>
      </c>
      <c r="H178" s="162">
        <v>40461</v>
      </c>
      <c r="I178" s="163">
        <v>3666</v>
      </c>
    </row>
    <row r="179" spans="1:9" ht="16.899999999999999" customHeight="1" x14ac:dyDescent="0.25">
      <c r="A179" s="135" t="s">
        <v>147</v>
      </c>
      <c r="B179" s="136">
        <v>2016</v>
      </c>
      <c r="C179" s="161">
        <v>31</v>
      </c>
      <c r="D179" s="135" t="s">
        <v>61</v>
      </c>
      <c r="E179" s="137">
        <v>0.51891567999999999</v>
      </c>
      <c r="F179" s="138">
        <v>0.24636356000000001</v>
      </c>
      <c r="G179" s="137">
        <v>0.23472076</v>
      </c>
      <c r="H179" s="162">
        <v>43276</v>
      </c>
      <c r="I179" s="163">
        <v>844</v>
      </c>
    </row>
    <row r="180" spans="1:9" ht="16.899999999999999" customHeight="1" x14ac:dyDescent="0.25">
      <c r="A180" s="135" t="s">
        <v>147</v>
      </c>
      <c r="B180" s="136">
        <v>2016</v>
      </c>
      <c r="C180" s="161">
        <v>32</v>
      </c>
      <c r="D180" s="135" t="s">
        <v>102</v>
      </c>
      <c r="E180" s="137">
        <v>0.57575447000000002</v>
      </c>
      <c r="F180" s="138">
        <v>0.25594812</v>
      </c>
      <c r="G180" s="137">
        <v>0.16829741000000001</v>
      </c>
      <c r="H180" s="162">
        <v>39342</v>
      </c>
      <c r="I180" s="163">
        <v>4773</v>
      </c>
    </row>
    <row r="181" spans="1:9" ht="34.9" customHeight="1" x14ac:dyDescent="0.25">
      <c r="A181" s="135" t="s">
        <v>161</v>
      </c>
      <c r="B181" s="136">
        <v>2016</v>
      </c>
      <c r="C181" s="161">
        <v>33</v>
      </c>
      <c r="D181" s="135" t="s">
        <v>162</v>
      </c>
      <c r="E181" s="137">
        <v>0.48040393999999997</v>
      </c>
      <c r="F181" s="138">
        <v>0.23567038000000001</v>
      </c>
      <c r="G181" s="137">
        <v>0.28392569000000001</v>
      </c>
      <c r="H181" s="162">
        <v>43978</v>
      </c>
      <c r="I181" s="163" t="s">
        <v>149</v>
      </c>
    </row>
    <row r="182" spans="1:9" ht="34.9" customHeight="1" x14ac:dyDescent="0.25">
      <c r="A182" s="135" t="s">
        <v>161</v>
      </c>
      <c r="B182" s="136">
        <v>2016</v>
      </c>
      <c r="C182" s="161">
        <v>34</v>
      </c>
      <c r="D182" s="135" t="s">
        <v>163</v>
      </c>
      <c r="E182" s="137">
        <v>0.51517031999999996</v>
      </c>
      <c r="F182" s="138">
        <v>0.22413516</v>
      </c>
      <c r="G182" s="137">
        <v>0.26069451999999999</v>
      </c>
      <c r="H182" s="162">
        <v>43873</v>
      </c>
      <c r="I182" s="163" t="s">
        <v>149</v>
      </c>
    </row>
    <row r="183" spans="1:9" ht="34.9" customHeight="1" x14ac:dyDescent="0.25">
      <c r="A183" s="135" t="s">
        <v>161</v>
      </c>
      <c r="B183" s="136">
        <v>2016</v>
      </c>
      <c r="C183" s="161">
        <v>35</v>
      </c>
      <c r="D183" s="135" t="s">
        <v>164</v>
      </c>
      <c r="E183" s="137">
        <v>0.52325158000000005</v>
      </c>
      <c r="F183" s="138">
        <v>0.21766379</v>
      </c>
      <c r="G183" s="137">
        <v>0.25908462999999998</v>
      </c>
      <c r="H183" s="162">
        <v>43761</v>
      </c>
      <c r="I183" s="163" t="s">
        <v>149</v>
      </c>
    </row>
    <row r="184" spans="1:9" ht="34.9" customHeight="1" x14ac:dyDescent="0.25">
      <c r="A184" s="135" t="s">
        <v>161</v>
      </c>
      <c r="B184" s="136">
        <v>2016</v>
      </c>
      <c r="C184" s="161">
        <v>36</v>
      </c>
      <c r="D184" s="135" t="s">
        <v>165</v>
      </c>
      <c r="E184" s="137">
        <v>0.66026854999999995</v>
      </c>
      <c r="F184" s="138">
        <v>0.17922884</v>
      </c>
      <c r="G184" s="137">
        <v>0.16050260999999999</v>
      </c>
      <c r="H184" s="162">
        <v>43808</v>
      </c>
      <c r="I184" s="163" t="s">
        <v>149</v>
      </c>
    </row>
    <row r="185" spans="1:9" ht="34.9" customHeight="1" x14ac:dyDescent="0.25">
      <c r="A185" s="135" t="s">
        <v>161</v>
      </c>
      <c r="B185" s="136">
        <v>2016</v>
      </c>
      <c r="C185" s="161">
        <v>37</v>
      </c>
      <c r="D185" s="135" t="s">
        <v>65</v>
      </c>
      <c r="E185" s="137">
        <v>0.55127130999999996</v>
      </c>
      <c r="F185" s="138">
        <v>0.16818135000000001</v>
      </c>
      <c r="G185" s="137">
        <v>0.28054733999999998</v>
      </c>
      <c r="H185" s="162">
        <v>43869</v>
      </c>
      <c r="I185" s="163" t="s">
        <v>149</v>
      </c>
    </row>
    <row r="186" spans="1:9" ht="34.9" customHeight="1" x14ac:dyDescent="0.25">
      <c r="A186" s="135" t="s">
        <v>161</v>
      </c>
      <c r="B186" s="136">
        <v>2016</v>
      </c>
      <c r="C186" s="161">
        <v>38</v>
      </c>
      <c r="D186" s="135" t="s">
        <v>166</v>
      </c>
      <c r="E186" s="137">
        <v>0.55373505000000001</v>
      </c>
      <c r="F186" s="138">
        <v>0.22527651000000001</v>
      </c>
      <c r="G186" s="137">
        <v>0.22098843000000001</v>
      </c>
      <c r="H186" s="162">
        <v>43913</v>
      </c>
      <c r="I186" s="163" t="s">
        <v>149</v>
      </c>
    </row>
    <row r="187" spans="1:9" ht="16.899999999999999" customHeight="1" x14ac:dyDescent="0.25">
      <c r="A187" s="135" t="s">
        <v>147</v>
      </c>
      <c r="B187" s="136">
        <v>2015</v>
      </c>
      <c r="C187" s="161">
        <v>1</v>
      </c>
      <c r="D187" s="135" t="s">
        <v>148</v>
      </c>
      <c r="E187" s="137">
        <v>0.59462857999999996</v>
      </c>
      <c r="F187" s="138">
        <v>0.16693754</v>
      </c>
      <c r="G187" s="137">
        <v>0.23843386999999999</v>
      </c>
      <c r="H187" s="162">
        <v>51575</v>
      </c>
      <c r="I187" s="163" t="s">
        <v>149</v>
      </c>
    </row>
    <row r="188" spans="1:9" ht="16.899999999999999" customHeight="1" x14ac:dyDescent="0.25">
      <c r="A188" s="135" t="s">
        <v>147</v>
      </c>
      <c r="B188" s="136">
        <v>2015</v>
      </c>
      <c r="C188" s="161">
        <v>2</v>
      </c>
      <c r="D188" s="135" t="s">
        <v>18</v>
      </c>
      <c r="E188" s="137">
        <v>0.55308526999999996</v>
      </c>
      <c r="F188" s="138">
        <v>0.18969435000000001</v>
      </c>
      <c r="G188" s="137">
        <v>0.25722038000000003</v>
      </c>
      <c r="H188" s="162">
        <v>50814</v>
      </c>
      <c r="I188" s="163" t="s">
        <v>149</v>
      </c>
    </row>
    <row r="189" spans="1:9" ht="16.899999999999999" customHeight="1" x14ac:dyDescent="0.25">
      <c r="A189" s="135" t="s">
        <v>147</v>
      </c>
      <c r="B189" s="136">
        <v>2015</v>
      </c>
      <c r="C189" s="161">
        <v>3</v>
      </c>
      <c r="D189" s="135" t="s">
        <v>20</v>
      </c>
      <c r="E189" s="137">
        <v>0.69497933000000001</v>
      </c>
      <c r="F189" s="138">
        <v>0.14878300999999999</v>
      </c>
      <c r="G189" s="137">
        <v>0.15623766</v>
      </c>
      <c r="H189" s="162">
        <v>51300</v>
      </c>
      <c r="I189" s="163" t="s">
        <v>149</v>
      </c>
    </row>
    <row r="190" spans="1:9" ht="16.899999999999999" customHeight="1" x14ac:dyDescent="0.25">
      <c r="A190" s="135" t="s">
        <v>147</v>
      </c>
      <c r="B190" s="136">
        <v>2015</v>
      </c>
      <c r="C190" s="161">
        <v>4</v>
      </c>
      <c r="D190" s="135" t="s">
        <v>24</v>
      </c>
      <c r="E190" s="137">
        <v>0.80708530999999994</v>
      </c>
      <c r="F190" s="138">
        <v>9.9029039999999999E-2</v>
      </c>
      <c r="G190" s="137">
        <v>9.3885650000000001E-2</v>
      </c>
      <c r="H190" s="162">
        <v>51058</v>
      </c>
      <c r="I190" s="163" t="s">
        <v>149</v>
      </c>
    </row>
    <row r="191" spans="1:9" ht="16.899999999999999" customHeight="1" x14ac:dyDescent="0.25">
      <c r="A191" s="135" t="s">
        <v>147</v>
      </c>
      <c r="B191" s="136">
        <v>2015</v>
      </c>
      <c r="C191" s="161">
        <v>5</v>
      </c>
      <c r="D191" s="135" t="s">
        <v>150</v>
      </c>
      <c r="E191" s="137">
        <v>0.56204352000000002</v>
      </c>
      <c r="F191" s="138">
        <v>0.15812372999999999</v>
      </c>
      <c r="G191" s="137">
        <v>0.27983275000000002</v>
      </c>
      <c r="H191" s="162">
        <v>51114</v>
      </c>
      <c r="I191" s="163">
        <v>95</v>
      </c>
    </row>
    <row r="192" spans="1:9" ht="16.899999999999999" customHeight="1" x14ac:dyDescent="0.25">
      <c r="A192" s="135" t="s">
        <v>147</v>
      </c>
      <c r="B192" s="136">
        <v>2015</v>
      </c>
      <c r="C192" s="161">
        <v>6</v>
      </c>
      <c r="D192" s="135" t="s">
        <v>151</v>
      </c>
      <c r="E192" s="137">
        <v>0.56594997999999996</v>
      </c>
      <c r="F192" s="138">
        <v>0.17432839999999999</v>
      </c>
      <c r="G192" s="137">
        <v>0.25972161999999999</v>
      </c>
      <c r="H192" s="162">
        <v>49501</v>
      </c>
      <c r="I192" s="163">
        <v>302</v>
      </c>
    </row>
    <row r="193" spans="1:9" ht="16.899999999999999" customHeight="1" x14ac:dyDescent="0.25">
      <c r="A193" s="135" t="s">
        <v>147</v>
      </c>
      <c r="B193" s="136">
        <v>2015</v>
      </c>
      <c r="C193" s="161">
        <v>7</v>
      </c>
      <c r="D193" s="135" t="s">
        <v>189</v>
      </c>
      <c r="E193" s="137">
        <v>0.80972363999999997</v>
      </c>
      <c r="F193" s="138">
        <v>0.10867352</v>
      </c>
      <c r="G193" s="137">
        <v>8.1602839999999996E-2</v>
      </c>
      <c r="H193" s="162">
        <v>51045</v>
      </c>
      <c r="I193" s="163">
        <v>227</v>
      </c>
    </row>
    <row r="194" spans="1:9" ht="16.899999999999999" customHeight="1" x14ac:dyDescent="0.25">
      <c r="A194" s="135" t="s">
        <v>147</v>
      </c>
      <c r="B194" s="136">
        <v>2015</v>
      </c>
      <c r="C194" s="161">
        <v>8</v>
      </c>
      <c r="D194" s="135" t="s">
        <v>153</v>
      </c>
      <c r="E194" s="137">
        <v>0.64811631999999997</v>
      </c>
      <c r="F194" s="138">
        <v>0.18612682999999999</v>
      </c>
      <c r="G194" s="137">
        <v>0.16575685000000001</v>
      </c>
      <c r="H194" s="162">
        <v>48887</v>
      </c>
      <c r="I194" s="163">
        <v>2365</v>
      </c>
    </row>
    <row r="195" spans="1:9" ht="16.899999999999999" customHeight="1" x14ac:dyDescent="0.25">
      <c r="A195" s="135" t="s">
        <v>147</v>
      </c>
      <c r="B195" s="136">
        <v>2015</v>
      </c>
      <c r="C195" s="161">
        <v>9</v>
      </c>
      <c r="D195" s="135" t="s">
        <v>154</v>
      </c>
      <c r="E195" s="137">
        <v>0.76808566</v>
      </c>
      <c r="F195" s="138">
        <v>0.11858298</v>
      </c>
      <c r="G195" s="137">
        <v>0.11333135</v>
      </c>
      <c r="H195" s="162">
        <v>51552</v>
      </c>
      <c r="I195" s="163" t="s">
        <v>149</v>
      </c>
    </row>
    <row r="196" spans="1:9" ht="16.899999999999999" customHeight="1" x14ac:dyDescent="0.25">
      <c r="A196" s="135" t="s">
        <v>147</v>
      </c>
      <c r="B196" s="136">
        <v>2015</v>
      </c>
      <c r="C196" s="161">
        <v>10</v>
      </c>
      <c r="D196" s="135" t="s">
        <v>42</v>
      </c>
      <c r="E196" s="137">
        <v>0.34627646000000001</v>
      </c>
      <c r="F196" s="138">
        <v>0.29611798</v>
      </c>
      <c r="G196" s="137">
        <v>0.35760556999999998</v>
      </c>
      <c r="H196" s="162">
        <v>43880</v>
      </c>
      <c r="I196" s="163">
        <v>7442</v>
      </c>
    </row>
    <row r="197" spans="1:9" ht="16.899999999999999" customHeight="1" x14ac:dyDescent="0.25">
      <c r="A197" s="135" t="s">
        <v>147</v>
      </c>
      <c r="B197" s="136">
        <v>2015</v>
      </c>
      <c r="C197" s="161">
        <v>12</v>
      </c>
      <c r="D197" s="135" t="s">
        <v>155</v>
      </c>
      <c r="E197" s="137">
        <v>0.36002993999999999</v>
      </c>
      <c r="F197" s="138">
        <v>0.29942426</v>
      </c>
      <c r="G197" s="137">
        <v>0.34054580000000001</v>
      </c>
      <c r="H197" s="162">
        <v>46820</v>
      </c>
      <c r="I197" s="163">
        <v>4549</v>
      </c>
    </row>
    <row r="198" spans="1:9" ht="34.9" customHeight="1" x14ac:dyDescent="0.25">
      <c r="A198" s="135" t="s">
        <v>147</v>
      </c>
      <c r="B198" s="136">
        <v>2015</v>
      </c>
      <c r="C198" s="161">
        <v>13</v>
      </c>
      <c r="D198" s="135" t="s">
        <v>190</v>
      </c>
      <c r="E198" s="137">
        <v>0.63770342000000002</v>
      </c>
      <c r="F198" s="138">
        <v>0.18655065000000001</v>
      </c>
      <c r="G198" s="137">
        <v>0.17574592999999999</v>
      </c>
      <c r="H198" s="162">
        <v>49642</v>
      </c>
      <c r="I198" s="163">
        <v>1281</v>
      </c>
    </row>
    <row r="199" spans="1:9" ht="16.899999999999999" customHeight="1" x14ac:dyDescent="0.25">
      <c r="A199" s="135" t="s">
        <v>147</v>
      </c>
      <c r="B199" s="136">
        <v>2015</v>
      </c>
      <c r="C199" s="161">
        <v>14</v>
      </c>
      <c r="D199" s="135" t="s">
        <v>45</v>
      </c>
      <c r="E199" s="137">
        <v>0.47953309</v>
      </c>
      <c r="F199" s="138">
        <v>0.22446436</v>
      </c>
      <c r="G199" s="137">
        <v>0.29600254999999998</v>
      </c>
      <c r="H199" s="162">
        <v>49249</v>
      </c>
      <c r="I199" s="163">
        <v>1514</v>
      </c>
    </row>
    <row r="200" spans="1:9" ht="16.899999999999999" customHeight="1" x14ac:dyDescent="0.25">
      <c r="A200" s="135" t="s">
        <v>147</v>
      </c>
      <c r="B200" s="136">
        <v>2015</v>
      </c>
      <c r="C200" s="161">
        <v>15</v>
      </c>
      <c r="D200" s="135" t="s">
        <v>46</v>
      </c>
      <c r="E200" s="137">
        <v>0.75216740000000004</v>
      </c>
      <c r="F200" s="138">
        <v>0.14299338</v>
      </c>
      <c r="G200" s="137">
        <v>0.10483923000000001</v>
      </c>
      <c r="H200" s="162">
        <v>49795</v>
      </c>
      <c r="I200" s="163">
        <v>997</v>
      </c>
    </row>
    <row r="201" spans="1:9" ht="16.899999999999999" customHeight="1" x14ac:dyDescent="0.25">
      <c r="A201" s="135" t="s">
        <v>147</v>
      </c>
      <c r="B201" s="136">
        <v>2015</v>
      </c>
      <c r="C201" s="161">
        <v>16</v>
      </c>
      <c r="D201" s="135" t="s">
        <v>47</v>
      </c>
      <c r="E201" s="137">
        <v>0.67538436000000002</v>
      </c>
      <c r="F201" s="138">
        <v>0.20117178999999999</v>
      </c>
      <c r="G201" s="137">
        <v>0.12344384999999999</v>
      </c>
      <c r="H201" s="162">
        <v>49178</v>
      </c>
      <c r="I201" s="163">
        <v>1523</v>
      </c>
    </row>
    <row r="202" spans="1:9" ht="16.899999999999999" customHeight="1" x14ac:dyDescent="0.25">
      <c r="A202" s="135" t="s">
        <v>147</v>
      </c>
      <c r="B202" s="136">
        <v>2015</v>
      </c>
      <c r="C202" s="161">
        <v>17</v>
      </c>
      <c r="D202" s="135" t="s">
        <v>157</v>
      </c>
      <c r="E202" s="137">
        <v>0.60278306999999998</v>
      </c>
      <c r="F202" s="138">
        <v>0.20785819</v>
      </c>
      <c r="G202" s="137">
        <v>0.18935874</v>
      </c>
      <c r="H202" s="162">
        <v>50889</v>
      </c>
      <c r="I202" s="163" t="s">
        <v>149</v>
      </c>
    </row>
    <row r="203" spans="1:9" ht="16.899999999999999" customHeight="1" x14ac:dyDescent="0.25">
      <c r="A203" s="135" t="s">
        <v>147</v>
      </c>
      <c r="B203" s="136">
        <v>2015</v>
      </c>
      <c r="C203" s="161">
        <v>18</v>
      </c>
      <c r="D203" s="135" t="s">
        <v>158</v>
      </c>
      <c r="E203" s="137">
        <v>0.36167370999999998</v>
      </c>
      <c r="F203" s="138">
        <v>0.25637571999999997</v>
      </c>
      <c r="G203" s="137">
        <v>0.38195055999999999</v>
      </c>
      <c r="H203" s="162">
        <v>47312</v>
      </c>
      <c r="I203" s="163">
        <v>3639</v>
      </c>
    </row>
    <row r="204" spans="1:9" ht="16.899999999999999" customHeight="1" x14ac:dyDescent="0.25">
      <c r="A204" s="135" t="s">
        <v>147</v>
      </c>
      <c r="B204" s="136">
        <v>2015</v>
      </c>
      <c r="C204" s="161">
        <v>19</v>
      </c>
      <c r="D204" s="135" t="s">
        <v>50</v>
      </c>
      <c r="E204" s="137">
        <v>0.82825448999999995</v>
      </c>
      <c r="F204" s="138">
        <v>8.4314799999999995E-2</v>
      </c>
      <c r="G204" s="137">
        <v>8.7430709999999995E-2</v>
      </c>
      <c r="H204" s="162">
        <v>50496</v>
      </c>
      <c r="I204" s="163">
        <v>340</v>
      </c>
    </row>
    <row r="205" spans="1:9" ht="16.899999999999999" customHeight="1" x14ac:dyDescent="0.25">
      <c r="A205" s="135" t="s">
        <v>147</v>
      </c>
      <c r="B205" s="136">
        <v>2015</v>
      </c>
      <c r="C205" s="161">
        <v>20</v>
      </c>
      <c r="D205" s="135" t="s">
        <v>51</v>
      </c>
      <c r="E205" s="137">
        <v>0.72675780000000001</v>
      </c>
      <c r="F205" s="138">
        <v>0.18589842000000001</v>
      </c>
      <c r="G205" s="137">
        <v>8.7343779999999996E-2</v>
      </c>
      <c r="H205" s="162">
        <v>46107</v>
      </c>
      <c r="I205" s="163">
        <v>4528</v>
      </c>
    </row>
    <row r="206" spans="1:9" ht="16.899999999999999" customHeight="1" x14ac:dyDescent="0.25">
      <c r="A206" s="135" t="s">
        <v>147</v>
      </c>
      <c r="B206" s="136">
        <v>2015</v>
      </c>
      <c r="C206" s="161">
        <v>21</v>
      </c>
      <c r="D206" s="135" t="s">
        <v>52</v>
      </c>
      <c r="E206" s="137">
        <v>0.69200616999999998</v>
      </c>
      <c r="F206" s="138">
        <v>0.15932864999999999</v>
      </c>
      <c r="G206" s="137">
        <v>0.14866518000000001</v>
      </c>
      <c r="H206" s="162">
        <v>49660</v>
      </c>
      <c r="I206" s="163">
        <v>1040</v>
      </c>
    </row>
    <row r="207" spans="1:9" ht="16.899999999999999" customHeight="1" x14ac:dyDescent="0.25">
      <c r="A207" s="135" t="s">
        <v>147</v>
      </c>
      <c r="B207" s="136">
        <v>2015</v>
      </c>
      <c r="C207" s="161">
        <v>22</v>
      </c>
      <c r="D207" s="135" t="s">
        <v>53</v>
      </c>
      <c r="E207" s="137">
        <v>0.78943030000000003</v>
      </c>
      <c r="F207" s="138">
        <v>0.10218075</v>
      </c>
      <c r="G207" s="137">
        <v>0.10838895</v>
      </c>
      <c r="H207" s="162">
        <v>50722</v>
      </c>
      <c r="I207" s="163" t="s">
        <v>149</v>
      </c>
    </row>
    <row r="208" spans="1:9" ht="16.899999999999999" customHeight="1" x14ac:dyDescent="0.25">
      <c r="A208" s="135" t="s">
        <v>147</v>
      </c>
      <c r="B208" s="136">
        <v>2015</v>
      </c>
      <c r="C208" s="161">
        <v>23</v>
      </c>
      <c r="D208" s="135" t="s">
        <v>54</v>
      </c>
      <c r="E208" s="137">
        <v>0.83274912000000001</v>
      </c>
      <c r="F208" s="138">
        <v>8.4345160000000002E-2</v>
      </c>
      <c r="G208" s="137">
        <v>8.2905709999999994E-2</v>
      </c>
      <c r="H208" s="162">
        <v>50588</v>
      </c>
      <c r="I208" s="163" t="s">
        <v>149</v>
      </c>
    </row>
    <row r="209" spans="1:9" ht="16.899999999999999" customHeight="1" x14ac:dyDescent="0.25">
      <c r="A209" s="135" t="s">
        <v>147</v>
      </c>
      <c r="B209" s="136">
        <v>2015</v>
      </c>
      <c r="C209" s="161">
        <v>24</v>
      </c>
      <c r="D209" s="135" t="s">
        <v>55</v>
      </c>
      <c r="E209" s="137">
        <v>0.70798653</v>
      </c>
      <c r="F209" s="138">
        <v>0.14416454000000001</v>
      </c>
      <c r="G209" s="137">
        <v>0.14784892999999999</v>
      </c>
      <c r="H209" s="162">
        <v>50642</v>
      </c>
      <c r="I209" s="163" t="s">
        <v>149</v>
      </c>
    </row>
    <row r="210" spans="1:9" ht="16.899999999999999" customHeight="1" x14ac:dyDescent="0.25">
      <c r="A210" s="135" t="s">
        <v>159</v>
      </c>
      <c r="B210" s="136">
        <v>2015</v>
      </c>
      <c r="C210" s="161">
        <v>25</v>
      </c>
      <c r="D210" s="135" t="s">
        <v>56</v>
      </c>
      <c r="E210" s="137">
        <v>0.75568703000000004</v>
      </c>
      <c r="F210" s="138">
        <v>0.14658319</v>
      </c>
      <c r="G210" s="137">
        <v>9.7729780000000002E-2</v>
      </c>
      <c r="H210" s="162">
        <v>50619</v>
      </c>
      <c r="I210" s="163" t="s">
        <v>149</v>
      </c>
    </row>
    <row r="211" spans="1:9" ht="34.9" customHeight="1" x14ac:dyDescent="0.25">
      <c r="A211" s="135" t="s">
        <v>147</v>
      </c>
      <c r="B211" s="136">
        <v>2015</v>
      </c>
      <c r="C211" s="161">
        <v>26</v>
      </c>
      <c r="D211" s="135" t="s">
        <v>57</v>
      </c>
      <c r="E211" s="137">
        <v>0.39041868000000002</v>
      </c>
      <c r="F211" s="138">
        <v>0.25085431000000002</v>
      </c>
      <c r="G211" s="137">
        <v>0.35872701000000001</v>
      </c>
      <c r="H211" s="162">
        <v>49164</v>
      </c>
      <c r="I211" s="163">
        <v>1272</v>
      </c>
    </row>
    <row r="212" spans="1:9" ht="16.899999999999999" customHeight="1" x14ac:dyDescent="0.25">
      <c r="A212" s="135" t="s">
        <v>147</v>
      </c>
      <c r="B212" s="136">
        <v>2015</v>
      </c>
      <c r="C212" s="161">
        <v>27</v>
      </c>
      <c r="D212" s="135" t="s">
        <v>58</v>
      </c>
      <c r="E212" s="137">
        <v>0.49071872999999999</v>
      </c>
      <c r="F212" s="138">
        <v>0.26241729000000003</v>
      </c>
      <c r="G212" s="137">
        <v>0.24686398000000001</v>
      </c>
      <c r="H212" s="162">
        <v>46318</v>
      </c>
      <c r="I212" s="163">
        <v>4032</v>
      </c>
    </row>
    <row r="213" spans="1:9" ht="16.899999999999999" customHeight="1" x14ac:dyDescent="0.25">
      <c r="A213" s="135" t="s">
        <v>147</v>
      </c>
      <c r="B213" s="136">
        <v>2015</v>
      </c>
      <c r="C213" s="161">
        <v>28</v>
      </c>
      <c r="D213" s="135" t="s">
        <v>191</v>
      </c>
      <c r="E213" s="137">
        <v>0.67929057999999998</v>
      </c>
      <c r="F213" s="138">
        <v>0.17239525999999999</v>
      </c>
      <c r="G213" s="137">
        <v>0.14831416</v>
      </c>
      <c r="H213" s="162">
        <v>49537</v>
      </c>
      <c r="I213" s="163">
        <v>674</v>
      </c>
    </row>
    <row r="214" spans="1:9" ht="34.9" customHeight="1" x14ac:dyDescent="0.25">
      <c r="A214" s="135" t="s">
        <v>147</v>
      </c>
      <c r="B214" s="136">
        <v>2015</v>
      </c>
      <c r="C214" s="161">
        <v>29</v>
      </c>
      <c r="D214" s="135" t="s">
        <v>100</v>
      </c>
      <c r="E214" s="137">
        <v>0.55042785999999999</v>
      </c>
      <c r="F214" s="138">
        <v>0.21869791999999999</v>
      </c>
      <c r="G214" s="137">
        <v>0.23087421999999999</v>
      </c>
      <c r="H214" s="162">
        <v>47803</v>
      </c>
      <c r="I214" s="163">
        <v>2443</v>
      </c>
    </row>
    <row r="215" spans="1:9" ht="34.9" customHeight="1" x14ac:dyDescent="0.25">
      <c r="A215" s="135" t="s">
        <v>159</v>
      </c>
      <c r="B215" s="136">
        <v>2015</v>
      </c>
      <c r="C215" s="161">
        <v>30</v>
      </c>
      <c r="D215" s="135" t="s">
        <v>60</v>
      </c>
      <c r="E215" s="137">
        <v>0.61463977000000003</v>
      </c>
      <c r="F215" s="138">
        <v>0.22196100999999999</v>
      </c>
      <c r="G215" s="137">
        <v>0.16339922000000001</v>
      </c>
      <c r="H215" s="162">
        <v>46182</v>
      </c>
      <c r="I215" s="163">
        <v>4148</v>
      </c>
    </row>
    <row r="216" spans="1:9" ht="16.899999999999999" customHeight="1" x14ac:dyDescent="0.25">
      <c r="A216" s="135" t="s">
        <v>147</v>
      </c>
      <c r="B216" s="136">
        <v>2015</v>
      </c>
      <c r="C216" s="161">
        <v>31</v>
      </c>
      <c r="D216" s="135" t="s">
        <v>61</v>
      </c>
      <c r="E216" s="137">
        <v>0.50494373999999997</v>
      </c>
      <c r="F216" s="138">
        <v>0.25860559999999999</v>
      </c>
      <c r="G216" s="137">
        <v>0.23645066000000001</v>
      </c>
      <c r="H216" s="162">
        <v>49350</v>
      </c>
      <c r="I216" s="163">
        <v>931</v>
      </c>
    </row>
    <row r="217" spans="1:9" ht="16.899999999999999" customHeight="1" x14ac:dyDescent="0.25">
      <c r="A217" s="135" t="s">
        <v>147</v>
      </c>
      <c r="B217" s="136">
        <v>2015</v>
      </c>
      <c r="C217" s="161">
        <v>32</v>
      </c>
      <c r="D217" s="135" t="s">
        <v>102</v>
      </c>
      <c r="E217" s="137">
        <v>0.55769990999999997</v>
      </c>
      <c r="F217" s="138">
        <v>0.26934486000000002</v>
      </c>
      <c r="G217" s="137">
        <v>0.17295522999999999</v>
      </c>
      <c r="H217" s="162">
        <v>44445</v>
      </c>
      <c r="I217" s="163">
        <v>5860</v>
      </c>
    </row>
    <row r="218" spans="1:9" ht="34.9" customHeight="1" x14ac:dyDescent="0.25">
      <c r="A218" s="135" t="s">
        <v>161</v>
      </c>
      <c r="B218" s="136">
        <v>2015</v>
      </c>
      <c r="C218" s="161">
        <v>33</v>
      </c>
      <c r="D218" s="135" t="s">
        <v>162</v>
      </c>
      <c r="E218" s="137">
        <v>0.46709409000000002</v>
      </c>
      <c r="F218" s="138">
        <v>0.24024603</v>
      </c>
      <c r="G218" s="137">
        <v>0.29265987999999998</v>
      </c>
      <c r="H218" s="162">
        <v>50153</v>
      </c>
      <c r="I218" s="163" t="s">
        <v>149</v>
      </c>
    </row>
    <row r="219" spans="1:9" ht="34.9" customHeight="1" x14ac:dyDescent="0.25">
      <c r="A219" s="135" t="s">
        <v>161</v>
      </c>
      <c r="B219" s="136">
        <v>2015</v>
      </c>
      <c r="C219" s="161">
        <v>34</v>
      </c>
      <c r="D219" s="135" t="s">
        <v>163</v>
      </c>
      <c r="E219" s="137">
        <v>0.50081284000000004</v>
      </c>
      <c r="F219" s="138">
        <v>0.23458534</v>
      </c>
      <c r="G219" s="137">
        <v>0.26460181999999999</v>
      </c>
      <c r="H219" s="162">
        <v>50089</v>
      </c>
      <c r="I219" s="163" t="s">
        <v>149</v>
      </c>
    </row>
    <row r="220" spans="1:9" ht="34.9" customHeight="1" x14ac:dyDescent="0.25">
      <c r="A220" s="135" t="s">
        <v>161</v>
      </c>
      <c r="B220" s="136">
        <v>2015</v>
      </c>
      <c r="C220" s="161">
        <v>35</v>
      </c>
      <c r="D220" s="135" t="s">
        <v>164</v>
      </c>
      <c r="E220" s="137">
        <v>0.51598073</v>
      </c>
      <c r="F220" s="138">
        <v>0.21798943000000001</v>
      </c>
      <c r="G220" s="137">
        <v>0.26602984000000002</v>
      </c>
      <c r="H220" s="162">
        <v>49900</v>
      </c>
      <c r="I220" s="163" t="s">
        <v>149</v>
      </c>
    </row>
    <row r="221" spans="1:9" ht="34.9" customHeight="1" x14ac:dyDescent="0.25">
      <c r="A221" s="135" t="s">
        <v>161</v>
      </c>
      <c r="B221" s="136">
        <v>2015</v>
      </c>
      <c r="C221" s="161">
        <v>36</v>
      </c>
      <c r="D221" s="135" t="s">
        <v>165</v>
      </c>
      <c r="E221" s="137">
        <v>0.64950918999999996</v>
      </c>
      <c r="F221" s="138">
        <v>0.18097806</v>
      </c>
      <c r="G221" s="137">
        <v>0.16951274999999999</v>
      </c>
      <c r="H221" s="162">
        <v>49888</v>
      </c>
      <c r="I221" s="163" t="s">
        <v>149</v>
      </c>
    </row>
    <row r="222" spans="1:9" ht="34.9" customHeight="1" x14ac:dyDescent="0.25">
      <c r="A222" s="135" t="s">
        <v>161</v>
      </c>
      <c r="B222" s="136">
        <v>2015</v>
      </c>
      <c r="C222" s="161">
        <v>37</v>
      </c>
      <c r="D222" s="135" t="s">
        <v>65</v>
      </c>
      <c r="E222" s="137">
        <v>0.54367937</v>
      </c>
      <c r="F222" s="138">
        <v>0.16439388999999999</v>
      </c>
      <c r="G222" s="137">
        <v>0.29192674000000002</v>
      </c>
      <c r="H222" s="162">
        <v>49970</v>
      </c>
      <c r="I222" s="163" t="s">
        <v>149</v>
      </c>
    </row>
    <row r="223" spans="1:9" ht="34.9" customHeight="1" x14ac:dyDescent="0.25">
      <c r="A223" s="135" t="s">
        <v>161</v>
      </c>
      <c r="B223" s="136">
        <v>2015</v>
      </c>
      <c r="C223" s="161">
        <v>38</v>
      </c>
      <c r="D223" s="135" t="s">
        <v>166</v>
      </c>
      <c r="E223" s="137">
        <v>0.54000612999999997</v>
      </c>
      <c r="F223" s="138">
        <v>0.22660605</v>
      </c>
      <c r="G223" s="137">
        <v>0.23338782</v>
      </c>
      <c r="H223" s="162">
        <v>50025</v>
      </c>
      <c r="I223" s="163" t="s">
        <v>149</v>
      </c>
    </row>
    <row r="224" spans="1:9" ht="16.899999999999999" customHeight="1" x14ac:dyDescent="0.25">
      <c r="A224" s="135" t="s">
        <v>147</v>
      </c>
      <c r="B224" s="136">
        <v>2014</v>
      </c>
      <c r="C224" s="161">
        <v>1</v>
      </c>
      <c r="D224" s="135" t="s">
        <v>148</v>
      </c>
      <c r="E224" s="137">
        <v>0.58992876000000005</v>
      </c>
      <c r="F224" s="138">
        <v>0.16979131</v>
      </c>
      <c r="G224" s="137">
        <v>0.24027993</v>
      </c>
      <c r="H224" s="162">
        <v>50913</v>
      </c>
      <c r="I224" s="163" t="s">
        <v>149</v>
      </c>
    </row>
    <row r="225" spans="1:9" ht="16.899999999999999" customHeight="1" x14ac:dyDescent="0.25">
      <c r="A225" s="135" t="s">
        <v>147</v>
      </c>
      <c r="B225" s="136">
        <v>2014</v>
      </c>
      <c r="C225" s="161">
        <v>2</v>
      </c>
      <c r="D225" s="135" t="s">
        <v>18</v>
      </c>
      <c r="E225" s="137">
        <v>0.54669548999999995</v>
      </c>
      <c r="F225" s="138">
        <v>0.19398272</v>
      </c>
      <c r="G225" s="137">
        <v>0.25932179</v>
      </c>
      <c r="H225" s="162">
        <v>50215</v>
      </c>
      <c r="I225" s="163" t="s">
        <v>149</v>
      </c>
    </row>
    <row r="226" spans="1:9" ht="16.899999999999999" customHeight="1" x14ac:dyDescent="0.25">
      <c r="A226" s="135" t="s">
        <v>147</v>
      </c>
      <c r="B226" s="136">
        <v>2014</v>
      </c>
      <c r="C226" s="161">
        <v>3</v>
      </c>
      <c r="D226" s="135" t="s">
        <v>20</v>
      </c>
      <c r="E226" s="137">
        <v>0.71021813</v>
      </c>
      <c r="F226" s="138">
        <v>0.14624761</v>
      </c>
      <c r="G226" s="137">
        <v>0.14353426999999999</v>
      </c>
      <c r="H226" s="162">
        <v>50671</v>
      </c>
      <c r="I226" s="163" t="s">
        <v>149</v>
      </c>
    </row>
    <row r="227" spans="1:9" ht="16.899999999999999" customHeight="1" x14ac:dyDescent="0.25">
      <c r="A227" s="135" t="s">
        <v>147</v>
      </c>
      <c r="B227" s="136">
        <v>2014</v>
      </c>
      <c r="C227" s="161">
        <v>4</v>
      </c>
      <c r="D227" s="135" t="s">
        <v>24</v>
      </c>
      <c r="E227" s="137">
        <v>0.81796268999999999</v>
      </c>
      <c r="F227" s="138">
        <v>9.4704789999999997E-2</v>
      </c>
      <c r="G227" s="137">
        <v>8.7332519999999997E-2</v>
      </c>
      <c r="H227" s="162">
        <v>50445</v>
      </c>
      <c r="I227" s="163" t="s">
        <v>149</v>
      </c>
    </row>
    <row r="228" spans="1:9" ht="16.899999999999999" customHeight="1" x14ac:dyDescent="0.25">
      <c r="A228" s="135" t="s">
        <v>147</v>
      </c>
      <c r="B228" s="136">
        <v>2014</v>
      </c>
      <c r="C228" s="161">
        <v>5</v>
      </c>
      <c r="D228" s="135" t="s">
        <v>150</v>
      </c>
      <c r="E228" s="137">
        <v>0.57220088999999996</v>
      </c>
      <c r="F228" s="138">
        <v>0.15407369000000001</v>
      </c>
      <c r="G228" s="137">
        <v>0.27372542</v>
      </c>
      <c r="H228" s="162">
        <v>50441</v>
      </c>
      <c r="I228" s="163">
        <v>123</v>
      </c>
    </row>
    <row r="229" spans="1:9" ht="16.899999999999999" customHeight="1" x14ac:dyDescent="0.25">
      <c r="A229" s="135" t="s">
        <v>147</v>
      </c>
      <c r="B229" s="136">
        <v>2014</v>
      </c>
      <c r="C229" s="161">
        <v>6</v>
      </c>
      <c r="D229" s="135" t="s">
        <v>151</v>
      </c>
      <c r="E229" s="137">
        <v>0.57093377999999995</v>
      </c>
      <c r="F229" s="138">
        <v>0.17509664999999999</v>
      </c>
      <c r="G229" s="137">
        <v>0.25396955999999998</v>
      </c>
      <c r="H229" s="162">
        <v>48922</v>
      </c>
      <c r="I229" s="163">
        <v>283</v>
      </c>
    </row>
    <row r="230" spans="1:9" ht="16.899999999999999" customHeight="1" x14ac:dyDescent="0.25">
      <c r="A230" s="135" t="s">
        <v>147</v>
      </c>
      <c r="B230" s="136">
        <v>2014</v>
      </c>
      <c r="C230" s="161">
        <v>7</v>
      </c>
      <c r="D230" s="135" t="s">
        <v>189</v>
      </c>
      <c r="E230" s="137">
        <v>0.82306897000000001</v>
      </c>
      <c r="F230" s="138">
        <v>0.10412367</v>
      </c>
      <c r="G230" s="137">
        <v>7.2807360000000002E-2</v>
      </c>
      <c r="H230" s="162">
        <v>50485</v>
      </c>
      <c r="I230" s="163">
        <v>230</v>
      </c>
    </row>
    <row r="231" spans="1:9" ht="16.899999999999999" customHeight="1" x14ac:dyDescent="0.25">
      <c r="A231" s="135" t="s">
        <v>147</v>
      </c>
      <c r="B231" s="136">
        <v>2014</v>
      </c>
      <c r="C231" s="161">
        <v>8</v>
      </c>
      <c r="D231" s="135" t="s">
        <v>153</v>
      </c>
      <c r="E231" s="137">
        <v>0.65062971000000003</v>
      </c>
      <c r="F231" s="138">
        <v>0.18730141</v>
      </c>
      <c r="G231" s="137">
        <v>0.16206888</v>
      </c>
      <c r="H231" s="162">
        <v>48454</v>
      </c>
      <c r="I231" s="163">
        <v>2207</v>
      </c>
    </row>
    <row r="232" spans="1:9" ht="16.899999999999999" customHeight="1" x14ac:dyDescent="0.25">
      <c r="A232" s="135" t="s">
        <v>147</v>
      </c>
      <c r="B232" s="136">
        <v>2014</v>
      </c>
      <c r="C232" s="161">
        <v>9</v>
      </c>
      <c r="D232" s="135" t="s">
        <v>154</v>
      </c>
      <c r="E232" s="137">
        <v>0.77241298000000003</v>
      </c>
      <c r="F232" s="138">
        <v>0.11518581</v>
      </c>
      <c r="G232" s="137">
        <v>0.11240121</v>
      </c>
      <c r="H232" s="162">
        <v>50874</v>
      </c>
      <c r="I232" s="163" t="s">
        <v>149</v>
      </c>
    </row>
    <row r="233" spans="1:9" ht="16.899999999999999" customHeight="1" x14ac:dyDescent="0.25">
      <c r="A233" s="135" t="s">
        <v>147</v>
      </c>
      <c r="B233" s="136">
        <v>2014</v>
      </c>
      <c r="C233" s="161">
        <v>10</v>
      </c>
      <c r="D233" s="135" t="s">
        <v>42</v>
      </c>
      <c r="E233" s="137">
        <v>0.34761141000000001</v>
      </c>
      <c r="F233" s="138">
        <v>0.30015187999999998</v>
      </c>
      <c r="G233" s="137">
        <v>0.35223672</v>
      </c>
      <c r="H233" s="162">
        <v>43537</v>
      </c>
      <c r="I233" s="163">
        <v>7082</v>
      </c>
    </row>
    <row r="234" spans="1:9" ht="16.899999999999999" customHeight="1" x14ac:dyDescent="0.25">
      <c r="A234" s="135" t="s">
        <v>147</v>
      </c>
      <c r="B234" s="136">
        <v>2014</v>
      </c>
      <c r="C234" s="161">
        <v>12</v>
      </c>
      <c r="D234" s="135" t="s">
        <v>155</v>
      </c>
      <c r="E234" s="137">
        <v>0.36094955000000001</v>
      </c>
      <c r="F234" s="138">
        <v>0.30534890999999997</v>
      </c>
      <c r="G234" s="137">
        <v>0.33370154000000002</v>
      </c>
      <c r="H234" s="162">
        <v>46262</v>
      </c>
      <c r="I234" s="163">
        <v>4502</v>
      </c>
    </row>
    <row r="235" spans="1:9" ht="34.9" customHeight="1" x14ac:dyDescent="0.25">
      <c r="A235" s="135" t="s">
        <v>147</v>
      </c>
      <c r="B235" s="136">
        <v>2014</v>
      </c>
      <c r="C235" s="161">
        <v>13</v>
      </c>
      <c r="D235" s="135" t="s">
        <v>190</v>
      </c>
      <c r="E235" s="137">
        <v>0.64935036999999995</v>
      </c>
      <c r="F235" s="138">
        <v>0.18691803000000001</v>
      </c>
      <c r="G235" s="137">
        <v>0.1637316</v>
      </c>
      <c r="H235" s="162">
        <v>48871</v>
      </c>
      <c r="I235" s="163">
        <v>1333</v>
      </c>
    </row>
    <row r="236" spans="1:9" ht="16.899999999999999" customHeight="1" x14ac:dyDescent="0.25">
      <c r="A236" s="135" t="s">
        <v>147</v>
      </c>
      <c r="B236" s="136">
        <v>2014</v>
      </c>
      <c r="C236" s="161">
        <v>14</v>
      </c>
      <c r="D236" s="135" t="s">
        <v>45</v>
      </c>
      <c r="E236" s="137">
        <v>0.47224843999999999</v>
      </c>
      <c r="F236" s="138">
        <v>0.22918457</v>
      </c>
      <c r="G236" s="137">
        <v>0.29856698999999998</v>
      </c>
      <c r="H236" s="162">
        <v>48683</v>
      </c>
      <c r="I236" s="163">
        <v>1394</v>
      </c>
    </row>
    <row r="237" spans="1:9" ht="16.899999999999999" customHeight="1" x14ac:dyDescent="0.25">
      <c r="A237" s="135" t="s">
        <v>147</v>
      </c>
      <c r="B237" s="136">
        <v>2014</v>
      </c>
      <c r="C237" s="161">
        <v>15</v>
      </c>
      <c r="D237" s="135" t="s">
        <v>46</v>
      </c>
      <c r="E237" s="137">
        <v>0.76173257999999999</v>
      </c>
      <c r="F237" s="138">
        <v>0.14110021</v>
      </c>
      <c r="G237" s="137">
        <v>9.7167210000000004E-2</v>
      </c>
      <c r="H237" s="162">
        <v>49195</v>
      </c>
      <c r="I237" s="163">
        <v>876</v>
      </c>
    </row>
    <row r="238" spans="1:9" ht="16.899999999999999" customHeight="1" x14ac:dyDescent="0.25">
      <c r="A238" s="135" t="s">
        <v>147</v>
      </c>
      <c r="B238" s="136">
        <v>2014</v>
      </c>
      <c r="C238" s="161">
        <v>16</v>
      </c>
      <c r="D238" s="135" t="s">
        <v>47</v>
      </c>
      <c r="E238" s="137">
        <v>0.69418120000000005</v>
      </c>
      <c r="F238" s="138">
        <v>0.19859646</v>
      </c>
      <c r="G238" s="137">
        <v>0.10722234</v>
      </c>
      <c r="H238" s="162">
        <v>48416</v>
      </c>
      <c r="I238" s="163">
        <v>1515</v>
      </c>
    </row>
    <row r="239" spans="1:9" ht="16.899999999999999" customHeight="1" x14ac:dyDescent="0.25">
      <c r="A239" s="135" t="s">
        <v>147</v>
      </c>
      <c r="B239" s="136">
        <v>2014</v>
      </c>
      <c r="C239" s="161">
        <v>17</v>
      </c>
      <c r="D239" s="135" t="s">
        <v>157</v>
      </c>
      <c r="E239" s="137">
        <v>0.63953037999999995</v>
      </c>
      <c r="F239" s="138">
        <v>0.20124254</v>
      </c>
      <c r="G239" s="137">
        <v>0.15922707999999999</v>
      </c>
      <c r="H239" s="162">
        <v>50146</v>
      </c>
      <c r="I239" s="163" t="s">
        <v>149</v>
      </c>
    </row>
    <row r="240" spans="1:9" ht="16.899999999999999" customHeight="1" x14ac:dyDescent="0.25">
      <c r="A240" s="135" t="s">
        <v>147</v>
      </c>
      <c r="B240" s="136">
        <v>2014</v>
      </c>
      <c r="C240" s="161">
        <v>18</v>
      </c>
      <c r="D240" s="135" t="s">
        <v>158</v>
      </c>
      <c r="E240" s="137">
        <v>0.36643983000000002</v>
      </c>
      <c r="F240" s="138">
        <v>0.26669036000000002</v>
      </c>
      <c r="G240" s="137">
        <v>0.36686981000000002</v>
      </c>
      <c r="H240" s="162">
        <v>46352</v>
      </c>
      <c r="I240" s="163">
        <v>3804</v>
      </c>
    </row>
    <row r="241" spans="1:9" ht="16.899999999999999" customHeight="1" x14ac:dyDescent="0.25">
      <c r="A241" s="135" t="s">
        <v>147</v>
      </c>
      <c r="B241" s="136">
        <v>2014</v>
      </c>
      <c r="C241" s="161">
        <v>19</v>
      </c>
      <c r="D241" s="135" t="s">
        <v>50</v>
      </c>
      <c r="E241" s="137">
        <v>0.83809836999999998</v>
      </c>
      <c r="F241" s="138">
        <v>8.0401929999999996E-2</v>
      </c>
      <c r="G241" s="137">
        <v>8.1499699999999994E-2</v>
      </c>
      <c r="H241" s="162">
        <v>49708</v>
      </c>
      <c r="I241" s="163">
        <v>331</v>
      </c>
    </row>
    <row r="242" spans="1:9" ht="16.899999999999999" customHeight="1" x14ac:dyDescent="0.25">
      <c r="A242" s="135" t="s">
        <v>147</v>
      </c>
      <c r="B242" s="136">
        <v>2014</v>
      </c>
      <c r="C242" s="161">
        <v>20</v>
      </c>
      <c r="D242" s="135" t="s">
        <v>51</v>
      </c>
      <c r="E242" s="137">
        <v>0.73205997</v>
      </c>
      <c r="F242" s="138">
        <v>0.18640296000000001</v>
      </c>
      <c r="G242" s="137">
        <v>8.1537079999999998E-2</v>
      </c>
      <c r="H242" s="162">
        <v>45659</v>
      </c>
      <c r="I242" s="163">
        <v>4186</v>
      </c>
    </row>
    <row r="243" spans="1:9" ht="16.899999999999999" customHeight="1" x14ac:dyDescent="0.25">
      <c r="A243" s="135" t="s">
        <v>147</v>
      </c>
      <c r="B243" s="136">
        <v>2014</v>
      </c>
      <c r="C243" s="161">
        <v>21</v>
      </c>
      <c r="D243" s="135" t="s">
        <v>52</v>
      </c>
      <c r="E243" s="137">
        <v>0.69655860000000003</v>
      </c>
      <c r="F243" s="138">
        <v>0.15861789000000001</v>
      </c>
      <c r="G243" s="137">
        <v>0.14482350999999999</v>
      </c>
      <c r="H243" s="162">
        <v>48842</v>
      </c>
      <c r="I243" s="163">
        <v>1039</v>
      </c>
    </row>
    <row r="244" spans="1:9" ht="16.899999999999999" customHeight="1" x14ac:dyDescent="0.25">
      <c r="A244" s="135" t="s">
        <v>147</v>
      </c>
      <c r="B244" s="136">
        <v>2014</v>
      </c>
      <c r="C244" s="161">
        <v>22</v>
      </c>
      <c r="D244" s="135" t="s">
        <v>53</v>
      </c>
      <c r="E244" s="137">
        <v>0.79181621000000002</v>
      </c>
      <c r="F244" s="138">
        <v>0.10013613</v>
      </c>
      <c r="G244" s="137">
        <v>0.10804766</v>
      </c>
      <c r="H244" s="162">
        <v>49884</v>
      </c>
      <c r="I244" s="163" t="s">
        <v>149</v>
      </c>
    </row>
    <row r="245" spans="1:9" ht="16.899999999999999" customHeight="1" x14ac:dyDescent="0.25">
      <c r="A245" s="135" t="s">
        <v>147</v>
      </c>
      <c r="B245" s="136">
        <v>2014</v>
      </c>
      <c r="C245" s="161">
        <v>23</v>
      </c>
      <c r="D245" s="135" t="s">
        <v>54</v>
      </c>
      <c r="E245" s="137">
        <v>0.83583138000000001</v>
      </c>
      <c r="F245" s="138">
        <v>8.2550059999999995E-2</v>
      </c>
      <c r="G245" s="137">
        <v>8.1618560000000007E-2</v>
      </c>
      <c r="H245" s="162">
        <v>49720</v>
      </c>
      <c r="I245" s="163" t="s">
        <v>149</v>
      </c>
    </row>
    <row r="246" spans="1:9" ht="16.899999999999999" customHeight="1" x14ac:dyDescent="0.25">
      <c r="A246" s="135" t="s">
        <v>147</v>
      </c>
      <c r="B246" s="136">
        <v>2014</v>
      </c>
      <c r="C246" s="161">
        <v>24</v>
      </c>
      <c r="D246" s="135" t="s">
        <v>55</v>
      </c>
      <c r="E246" s="137">
        <v>0.70732872000000002</v>
      </c>
      <c r="F246" s="138">
        <v>0.14513852999999999</v>
      </c>
      <c r="G246" s="137">
        <v>0.14753274</v>
      </c>
      <c r="H246" s="162">
        <v>49787</v>
      </c>
      <c r="I246" s="163" t="s">
        <v>149</v>
      </c>
    </row>
    <row r="247" spans="1:9" ht="16.899999999999999" customHeight="1" x14ac:dyDescent="0.25">
      <c r="A247" s="135" t="s">
        <v>159</v>
      </c>
      <c r="B247" s="136">
        <v>2014</v>
      </c>
      <c r="C247" s="161">
        <v>25</v>
      </c>
      <c r="D247" s="135" t="s">
        <v>56</v>
      </c>
      <c r="E247" s="137">
        <v>0.75559615000000002</v>
      </c>
      <c r="F247" s="138">
        <v>0.1487695</v>
      </c>
      <c r="G247" s="137">
        <v>9.5634350000000007E-2</v>
      </c>
      <c r="H247" s="162">
        <v>49796</v>
      </c>
      <c r="I247" s="163" t="s">
        <v>149</v>
      </c>
    </row>
    <row r="248" spans="1:9" ht="34.9" customHeight="1" x14ac:dyDescent="0.25">
      <c r="A248" s="135" t="s">
        <v>147</v>
      </c>
      <c r="B248" s="136">
        <v>2014</v>
      </c>
      <c r="C248" s="161">
        <v>26</v>
      </c>
      <c r="D248" s="135" t="s">
        <v>57</v>
      </c>
      <c r="E248" s="137">
        <v>0.37727057000000003</v>
      </c>
      <c r="F248" s="138">
        <v>0.25505112000000002</v>
      </c>
      <c r="G248" s="137">
        <v>0.36767831000000001</v>
      </c>
      <c r="H248" s="162">
        <v>48369</v>
      </c>
      <c r="I248" s="163">
        <v>1203</v>
      </c>
    </row>
    <row r="249" spans="1:9" ht="16.899999999999999" customHeight="1" x14ac:dyDescent="0.25">
      <c r="A249" s="135" t="s">
        <v>147</v>
      </c>
      <c r="B249" s="136">
        <v>2014</v>
      </c>
      <c r="C249" s="161">
        <v>27</v>
      </c>
      <c r="D249" s="135" t="s">
        <v>58</v>
      </c>
      <c r="E249" s="137">
        <v>0.47668093</v>
      </c>
      <c r="F249" s="138">
        <v>0.27395826000000001</v>
      </c>
      <c r="G249" s="137">
        <v>0.24936080999999999</v>
      </c>
      <c r="H249" s="162">
        <v>45530</v>
      </c>
      <c r="I249" s="163">
        <v>3979</v>
      </c>
    </row>
    <row r="250" spans="1:9" ht="16.899999999999999" customHeight="1" x14ac:dyDescent="0.25">
      <c r="A250" s="135" t="s">
        <v>147</v>
      </c>
      <c r="B250" s="136">
        <v>2014</v>
      </c>
      <c r="C250" s="161">
        <v>28</v>
      </c>
      <c r="D250" s="135" t="s">
        <v>191</v>
      </c>
      <c r="E250" s="137">
        <v>0.69458651000000005</v>
      </c>
      <c r="F250" s="138">
        <v>0.16854372000000001</v>
      </c>
      <c r="G250" s="137">
        <v>0.13686977</v>
      </c>
      <c r="H250" s="162">
        <v>48753</v>
      </c>
      <c r="I250" s="163">
        <v>653</v>
      </c>
    </row>
    <row r="251" spans="1:9" ht="34.9" customHeight="1" x14ac:dyDescent="0.25">
      <c r="A251" s="135" t="s">
        <v>147</v>
      </c>
      <c r="B251" s="136">
        <v>2014</v>
      </c>
      <c r="C251" s="161">
        <v>29</v>
      </c>
      <c r="D251" s="135" t="s">
        <v>100</v>
      </c>
      <c r="E251" s="137">
        <v>0.55402494999999996</v>
      </c>
      <c r="F251" s="138">
        <v>0.22067492999999999</v>
      </c>
      <c r="G251" s="137">
        <v>0.22530011999999999</v>
      </c>
      <c r="H251" s="162">
        <v>46984</v>
      </c>
      <c r="I251" s="163">
        <v>2415</v>
      </c>
    </row>
    <row r="252" spans="1:9" ht="34.9" customHeight="1" x14ac:dyDescent="0.25">
      <c r="A252" s="135" t="s">
        <v>159</v>
      </c>
      <c r="B252" s="136">
        <v>2014</v>
      </c>
      <c r="C252" s="161">
        <v>30</v>
      </c>
      <c r="D252" s="135" t="s">
        <v>60</v>
      </c>
      <c r="E252" s="137">
        <v>0.61626524999999999</v>
      </c>
      <c r="F252" s="138">
        <v>0.22776246</v>
      </c>
      <c r="G252" s="137">
        <v>0.15597229000000001</v>
      </c>
      <c r="H252" s="162">
        <v>45193</v>
      </c>
      <c r="I252" s="163">
        <v>4298</v>
      </c>
    </row>
    <row r="253" spans="1:9" ht="16.899999999999999" customHeight="1" x14ac:dyDescent="0.25">
      <c r="A253" s="135" t="s">
        <v>147</v>
      </c>
      <c r="B253" s="136">
        <v>2014</v>
      </c>
      <c r="C253" s="161">
        <v>31</v>
      </c>
      <c r="D253" s="135" t="s">
        <v>61</v>
      </c>
      <c r="E253" s="137">
        <v>0.49161740999999998</v>
      </c>
      <c r="F253" s="138">
        <v>0.26685204000000001</v>
      </c>
      <c r="G253" s="137">
        <v>0.24153055000000001</v>
      </c>
      <c r="H253" s="162">
        <v>48471</v>
      </c>
      <c r="I253" s="163">
        <v>1000</v>
      </c>
    </row>
    <row r="254" spans="1:9" ht="16.899999999999999" customHeight="1" x14ac:dyDescent="0.25">
      <c r="A254" s="135" t="s">
        <v>147</v>
      </c>
      <c r="B254" s="136">
        <v>2014</v>
      </c>
      <c r="C254" s="161">
        <v>32</v>
      </c>
      <c r="D254" s="135" t="s">
        <v>102</v>
      </c>
      <c r="E254" s="137">
        <v>0.54166612999999997</v>
      </c>
      <c r="F254" s="138">
        <v>0.28692736000000002</v>
      </c>
      <c r="G254" s="137">
        <v>0.17140651000000001</v>
      </c>
      <c r="H254" s="162">
        <v>43384</v>
      </c>
      <c r="I254" s="163">
        <v>6024</v>
      </c>
    </row>
    <row r="255" spans="1:9" ht="34.9" customHeight="1" x14ac:dyDescent="0.25">
      <c r="A255" s="135" t="s">
        <v>161</v>
      </c>
      <c r="B255" s="136">
        <v>2014</v>
      </c>
      <c r="C255" s="161">
        <v>33</v>
      </c>
      <c r="D255" s="135" t="s">
        <v>162</v>
      </c>
      <c r="E255" s="137">
        <v>0.47304087</v>
      </c>
      <c r="F255" s="138">
        <v>0.23644504999999999</v>
      </c>
      <c r="G255" s="137">
        <v>0.29051408000000001</v>
      </c>
      <c r="H255" s="162">
        <v>49307</v>
      </c>
      <c r="I255" s="163" t="s">
        <v>149</v>
      </c>
    </row>
    <row r="256" spans="1:9" ht="34.9" customHeight="1" x14ac:dyDescent="0.25">
      <c r="A256" s="135" t="s">
        <v>161</v>
      </c>
      <c r="B256" s="136">
        <v>2014</v>
      </c>
      <c r="C256" s="161">
        <v>34</v>
      </c>
      <c r="D256" s="135" t="s">
        <v>163</v>
      </c>
      <c r="E256" s="137">
        <v>0.5102681</v>
      </c>
      <c r="F256" s="138">
        <v>0.23417372</v>
      </c>
      <c r="G256" s="137">
        <v>0.25555818000000002</v>
      </c>
      <c r="H256" s="162">
        <v>49215</v>
      </c>
      <c r="I256" s="163" t="s">
        <v>149</v>
      </c>
    </row>
    <row r="257" spans="1:9" ht="34.9" customHeight="1" x14ac:dyDescent="0.25">
      <c r="A257" s="135" t="s">
        <v>161</v>
      </c>
      <c r="B257" s="136">
        <v>2014</v>
      </c>
      <c r="C257" s="161">
        <v>35</v>
      </c>
      <c r="D257" s="135" t="s">
        <v>164</v>
      </c>
      <c r="E257" s="137">
        <v>0.51389501999999998</v>
      </c>
      <c r="F257" s="138">
        <v>0.21720279000000001</v>
      </c>
      <c r="G257" s="137">
        <v>0.26890218999999999</v>
      </c>
      <c r="H257" s="162">
        <v>49026</v>
      </c>
      <c r="I257" s="163" t="s">
        <v>149</v>
      </c>
    </row>
    <row r="258" spans="1:9" ht="34.9" customHeight="1" x14ac:dyDescent="0.25">
      <c r="A258" s="135" t="s">
        <v>161</v>
      </c>
      <c r="B258" s="136">
        <v>2014</v>
      </c>
      <c r="C258" s="161">
        <v>36</v>
      </c>
      <c r="D258" s="135" t="s">
        <v>165</v>
      </c>
      <c r="E258" s="137">
        <v>0.66706038999999995</v>
      </c>
      <c r="F258" s="138">
        <v>0.17971746</v>
      </c>
      <c r="G258" s="137">
        <v>0.15322215</v>
      </c>
      <c r="H258" s="162">
        <v>49031</v>
      </c>
      <c r="I258" s="163" t="s">
        <v>149</v>
      </c>
    </row>
    <row r="259" spans="1:9" ht="34.9" customHeight="1" x14ac:dyDescent="0.25">
      <c r="A259" s="135" t="s">
        <v>161</v>
      </c>
      <c r="B259" s="136">
        <v>2014</v>
      </c>
      <c r="C259" s="161">
        <v>37</v>
      </c>
      <c r="D259" s="135" t="s">
        <v>65</v>
      </c>
      <c r="E259" s="137">
        <v>0.55251974000000004</v>
      </c>
      <c r="F259" s="138">
        <v>0.16594988999999999</v>
      </c>
      <c r="G259" s="137">
        <v>0.28153036999999997</v>
      </c>
      <c r="H259" s="162">
        <v>49140</v>
      </c>
      <c r="I259" s="163" t="s">
        <v>149</v>
      </c>
    </row>
    <row r="260" spans="1:9" ht="34.9" customHeight="1" x14ac:dyDescent="0.25">
      <c r="A260" s="135" t="s">
        <v>161</v>
      </c>
      <c r="B260" s="136">
        <v>2014</v>
      </c>
      <c r="C260" s="161">
        <v>38</v>
      </c>
      <c r="D260" s="135" t="s">
        <v>166</v>
      </c>
      <c r="E260" s="137">
        <v>0.55555489999999996</v>
      </c>
      <c r="F260" s="138">
        <v>0.22829098</v>
      </c>
      <c r="G260" s="137">
        <v>0.21615412000000001</v>
      </c>
      <c r="H260" s="162">
        <v>49194</v>
      </c>
      <c r="I260" s="163" t="s">
        <v>149</v>
      </c>
    </row>
    <row r="261" spans="1:9" ht="16.899999999999999" customHeight="1" x14ac:dyDescent="0.25">
      <c r="A261" s="135" t="s">
        <v>147</v>
      </c>
      <c r="B261" s="136">
        <v>2013</v>
      </c>
      <c r="C261" s="161">
        <v>1</v>
      </c>
      <c r="D261" s="135" t="s">
        <v>148</v>
      </c>
      <c r="E261" s="137">
        <v>0.61245892000000002</v>
      </c>
      <c r="F261" s="138">
        <v>0.16326314</v>
      </c>
      <c r="G261" s="137">
        <v>0.22427794000000001</v>
      </c>
      <c r="H261" s="162">
        <v>49899</v>
      </c>
      <c r="I261" s="163" t="s">
        <v>149</v>
      </c>
    </row>
    <row r="262" spans="1:9" ht="16.899999999999999" customHeight="1" x14ac:dyDescent="0.25">
      <c r="A262" s="135" t="s">
        <v>147</v>
      </c>
      <c r="B262" s="136">
        <v>2013</v>
      </c>
      <c r="C262" s="161">
        <v>2</v>
      </c>
      <c r="D262" s="135" t="s">
        <v>18</v>
      </c>
      <c r="E262" s="137">
        <v>0.55464128000000001</v>
      </c>
      <c r="F262" s="138">
        <v>0.18824672000000001</v>
      </c>
      <c r="G262" s="137">
        <v>0.25711199000000001</v>
      </c>
      <c r="H262" s="162">
        <v>49379</v>
      </c>
      <c r="I262" s="163" t="s">
        <v>149</v>
      </c>
    </row>
    <row r="263" spans="1:9" ht="16.899999999999999" customHeight="1" x14ac:dyDescent="0.25">
      <c r="A263" s="135" t="s">
        <v>147</v>
      </c>
      <c r="B263" s="136">
        <v>2013</v>
      </c>
      <c r="C263" s="161">
        <v>3</v>
      </c>
      <c r="D263" s="135" t="s">
        <v>20</v>
      </c>
      <c r="E263" s="137">
        <v>0.70360051000000001</v>
      </c>
      <c r="F263" s="138">
        <v>0.14657663000000001</v>
      </c>
      <c r="G263" s="137">
        <v>0.14982286</v>
      </c>
      <c r="H263" s="162">
        <v>49740</v>
      </c>
      <c r="I263" s="163" t="s">
        <v>149</v>
      </c>
    </row>
    <row r="264" spans="1:9" ht="16.899999999999999" customHeight="1" x14ac:dyDescent="0.25">
      <c r="A264" s="135" t="s">
        <v>147</v>
      </c>
      <c r="B264" s="136">
        <v>2013</v>
      </c>
      <c r="C264" s="161">
        <v>4</v>
      </c>
      <c r="D264" s="135" t="s">
        <v>24</v>
      </c>
      <c r="E264" s="137">
        <v>0.81258976999999999</v>
      </c>
      <c r="F264" s="138">
        <v>9.6219669999999993E-2</v>
      </c>
      <c r="G264" s="137">
        <v>9.1190560000000004E-2</v>
      </c>
      <c r="H264" s="162">
        <v>49458</v>
      </c>
      <c r="I264" s="163" t="s">
        <v>149</v>
      </c>
    </row>
    <row r="265" spans="1:9" ht="16.899999999999999" customHeight="1" x14ac:dyDescent="0.25">
      <c r="A265" s="135" t="s">
        <v>147</v>
      </c>
      <c r="B265" s="136">
        <v>2013</v>
      </c>
      <c r="C265" s="161">
        <v>5</v>
      </c>
      <c r="D265" s="135" t="s">
        <v>150</v>
      </c>
      <c r="E265" s="137">
        <v>0.57166834</v>
      </c>
      <c r="F265" s="138">
        <v>0.15098771</v>
      </c>
      <c r="G265" s="137">
        <v>0.27734396</v>
      </c>
      <c r="H265" s="162">
        <v>49533</v>
      </c>
      <c r="I265" s="163">
        <v>123</v>
      </c>
    </row>
    <row r="266" spans="1:9" ht="16.899999999999999" customHeight="1" x14ac:dyDescent="0.25">
      <c r="A266" s="135" t="s">
        <v>147</v>
      </c>
      <c r="B266" s="136">
        <v>2013</v>
      </c>
      <c r="C266" s="161">
        <v>6</v>
      </c>
      <c r="D266" s="135" t="s">
        <v>151</v>
      </c>
      <c r="E266" s="137">
        <v>0.58324962000000002</v>
      </c>
      <c r="F266" s="138">
        <v>0.17106507000000001</v>
      </c>
      <c r="G266" s="137">
        <v>0.24568530999999999</v>
      </c>
      <c r="H266" s="162">
        <v>48287</v>
      </c>
      <c r="I266" s="163">
        <v>302</v>
      </c>
    </row>
    <row r="267" spans="1:9" ht="16.899999999999999" customHeight="1" x14ac:dyDescent="0.25">
      <c r="A267" s="135" t="s">
        <v>147</v>
      </c>
      <c r="B267" s="136">
        <v>2013</v>
      </c>
      <c r="C267" s="161">
        <v>7</v>
      </c>
      <c r="D267" s="135" t="s">
        <v>189</v>
      </c>
      <c r="E267" s="137">
        <v>0.82181641000000005</v>
      </c>
      <c r="F267" s="138">
        <v>0.10361679</v>
      </c>
      <c r="G267" s="137">
        <v>7.4566809999999997E-2</v>
      </c>
      <c r="H267" s="162">
        <v>49471</v>
      </c>
      <c r="I267" s="163">
        <v>235</v>
      </c>
    </row>
    <row r="268" spans="1:9" ht="16.899999999999999" customHeight="1" x14ac:dyDescent="0.25">
      <c r="A268" s="135" t="s">
        <v>147</v>
      </c>
      <c r="B268" s="136">
        <v>2013</v>
      </c>
      <c r="C268" s="161">
        <v>8</v>
      </c>
      <c r="D268" s="135" t="s">
        <v>153</v>
      </c>
      <c r="E268" s="137">
        <v>0.65394536000000003</v>
      </c>
      <c r="F268" s="138">
        <v>0.18586153999999999</v>
      </c>
      <c r="G268" s="137">
        <v>0.1601931</v>
      </c>
      <c r="H268" s="162">
        <v>47523</v>
      </c>
      <c r="I268" s="163">
        <v>2091</v>
      </c>
    </row>
    <row r="269" spans="1:9" ht="16.899999999999999" customHeight="1" x14ac:dyDescent="0.25">
      <c r="A269" s="135" t="s">
        <v>147</v>
      </c>
      <c r="B269" s="136">
        <v>2013</v>
      </c>
      <c r="C269" s="161">
        <v>9</v>
      </c>
      <c r="D269" s="135" t="s">
        <v>154</v>
      </c>
      <c r="E269" s="137">
        <v>0.77450865999999996</v>
      </c>
      <c r="F269" s="138">
        <v>0.11607231</v>
      </c>
      <c r="G269" s="137">
        <v>0.10941902000000001</v>
      </c>
      <c r="H269" s="162">
        <v>49852</v>
      </c>
      <c r="I269" s="163" t="s">
        <v>149</v>
      </c>
    </row>
    <row r="270" spans="1:9" ht="16.899999999999999" customHeight="1" x14ac:dyDescent="0.25">
      <c r="A270" s="135" t="s">
        <v>147</v>
      </c>
      <c r="B270" s="136">
        <v>2013</v>
      </c>
      <c r="C270" s="161">
        <v>10</v>
      </c>
      <c r="D270" s="135" t="s">
        <v>42</v>
      </c>
      <c r="E270" s="137">
        <v>0.35126352999999999</v>
      </c>
      <c r="F270" s="138">
        <v>0.29709108000000001</v>
      </c>
      <c r="G270" s="137">
        <v>0.35164539</v>
      </c>
      <c r="H270" s="162">
        <v>43332</v>
      </c>
      <c r="I270" s="163">
        <v>6315</v>
      </c>
    </row>
    <row r="271" spans="1:9" ht="16.899999999999999" customHeight="1" x14ac:dyDescent="0.25">
      <c r="A271" s="135" t="s">
        <v>147</v>
      </c>
      <c r="B271" s="136">
        <v>2013</v>
      </c>
      <c r="C271" s="161">
        <v>12</v>
      </c>
      <c r="D271" s="135" t="s">
        <v>155</v>
      </c>
      <c r="E271" s="137">
        <v>0.36389950999999998</v>
      </c>
      <c r="F271" s="138">
        <v>0.29559780000000002</v>
      </c>
      <c r="G271" s="137">
        <v>0.34050269</v>
      </c>
      <c r="H271" s="162">
        <v>45791</v>
      </c>
      <c r="I271" s="163">
        <v>3918</v>
      </c>
    </row>
    <row r="272" spans="1:9" ht="34.9" customHeight="1" x14ac:dyDescent="0.25">
      <c r="A272" s="135" t="s">
        <v>147</v>
      </c>
      <c r="B272" s="136">
        <v>2013</v>
      </c>
      <c r="C272" s="161">
        <v>13</v>
      </c>
      <c r="D272" s="135" t="s">
        <v>190</v>
      </c>
      <c r="E272" s="137">
        <v>0.67527897000000003</v>
      </c>
      <c r="F272" s="138">
        <v>0.18057503999999999</v>
      </c>
      <c r="G272" s="137">
        <v>0.14414599</v>
      </c>
      <c r="H272" s="162">
        <v>48042</v>
      </c>
      <c r="I272" s="163">
        <v>1029</v>
      </c>
    </row>
    <row r="273" spans="1:9" ht="16.899999999999999" customHeight="1" x14ac:dyDescent="0.25">
      <c r="A273" s="135" t="s">
        <v>147</v>
      </c>
      <c r="B273" s="136">
        <v>2013</v>
      </c>
      <c r="C273" s="161">
        <v>14</v>
      </c>
      <c r="D273" s="135" t="s">
        <v>45</v>
      </c>
      <c r="E273" s="137">
        <v>0.47882223000000002</v>
      </c>
      <c r="F273" s="138">
        <v>0.22432128000000001</v>
      </c>
      <c r="G273" s="137">
        <v>0.29685648999999997</v>
      </c>
      <c r="H273" s="162">
        <v>47766</v>
      </c>
      <c r="I273" s="163">
        <v>1246</v>
      </c>
    </row>
    <row r="274" spans="1:9" ht="16.899999999999999" customHeight="1" x14ac:dyDescent="0.25">
      <c r="A274" s="135" t="s">
        <v>147</v>
      </c>
      <c r="B274" s="136">
        <v>2013</v>
      </c>
      <c r="C274" s="161">
        <v>15</v>
      </c>
      <c r="D274" s="135" t="s">
        <v>46</v>
      </c>
      <c r="E274" s="137">
        <v>0.76341415999999995</v>
      </c>
      <c r="F274" s="138">
        <v>0.13874677999999999</v>
      </c>
      <c r="G274" s="137">
        <v>9.7839060000000005E-2</v>
      </c>
      <c r="H274" s="162">
        <v>48176</v>
      </c>
      <c r="I274" s="163">
        <v>793</v>
      </c>
    </row>
    <row r="275" spans="1:9" ht="16.899999999999999" customHeight="1" x14ac:dyDescent="0.25">
      <c r="A275" s="135" t="s">
        <v>147</v>
      </c>
      <c r="B275" s="136">
        <v>2013</v>
      </c>
      <c r="C275" s="161">
        <v>16</v>
      </c>
      <c r="D275" s="135" t="s">
        <v>47</v>
      </c>
      <c r="E275" s="137">
        <v>0.71641604000000003</v>
      </c>
      <c r="F275" s="138">
        <v>0.18628855</v>
      </c>
      <c r="G275" s="137">
        <v>9.7295409999999999E-2</v>
      </c>
      <c r="H275" s="162">
        <v>47619</v>
      </c>
      <c r="I275" s="163">
        <v>1288</v>
      </c>
    </row>
    <row r="276" spans="1:9" ht="16.899999999999999" customHeight="1" x14ac:dyDescent="0.25">
      <c r="A276" s="135" t="s">
        <v>147</v>
      </c>
      <c r="B276" s="136">
        <v>2013</v>
      </c>
      <c r="C276" s="161">
        <v>17</v>
      </c>
      <c r="D276" s="135" t="s">
        <v>157</v>
      </c>
      <c r="E276" s="137">
        <v>0.64725184999999996</v>
      </c>
      <c r="F276" s="138">
        <v>0.19575738000000001</v>
      </c>
      <c r="G276" s="137">
        <v>0.15699077</v>
      </c>
      <c r="H276" s="162">
        <v>48988</v>
      </c>
      <c r="I276" s="163" t="s">
        <v>149</v>
      </c>
    </row>
    <row r="277" spans="1:9" ht="16.899999999999999" customHeight="1" x14ac:dyDescent="0.25">
      <c r="A277" s="135" t="s">
        <v>147</v>
      </c>
      <c r="B277" s="136">
        <v>2013</v>
      </c>
      <c r="C277" s="161">
        <v>18</v>
      </c>
      <c r="D277" s="135" t="s">
        <v>158</v>
      </c>
      <c r="E277" s="137">
        <v>0.35976253000000002</v>
      </c>
      <c r="F277" s="138">
        <v>0.26071202999999998</v>
      </c>
      <c r="G277" s="137">
        <v>0.37952543</v>
      </c>
      <c r="H277" s="162">
        <v>45415</v>
      </c>
      <c r="I277" s="163">
        <v>3616</v>
      </c>
    </row>
    <row r="278" spans="1:9" ht="16.899999999999999" customHeight="1" x14ac:dyDescent="0.25">
      <c r="A278" s="135" t="s">
        <v>147</v>
      </c>
      <c r="B278" s="136">
        <v>2013</v>
      </c>
      <c r="C278" s="161">
        <v>19</v>
      </c>
      <c r="D278" s="135" t="s">
        <v>50</v>
      </c>
      <c r="E278" s="137">
        <v>0.83164276000000004</v>
      </c>
      <c r="F278" s="138">
        <v>8.4444320000000003E-2</v>
      </c>
      <c r="G278" s="137">
        <v>8.3912909999999993E-2</v>
      </c>
      <c r="H278" s="162">
        <v>48571</v>
      </c>
      <c r="I278" s="163">
        <v>307</v>
      </c>
    </row>
    <row r="279" spans="1:9" ht="16.899999999999999" customHeight="1" x14ac:dyDescent="0.25">
      <c r="A279" s="135" t="s">
        <v>147</v>
      </c>
      <c r="B279" s="136">
        <v>2013</v>
      </c>
      <c r="C279" s="161">
        <v>20</v>
      </c>
      <c r="D279" s="135" t="s">
        <v>51</v>
      </c>
      <c r="E279" s="137">
        <v>0.71421551999999999</v>
      </c>
      <c r="F279" s="138">
        <v>0.20130227000000001</v>
      </c>
      <c r="G279" s="137">
        <v>8.4482210000000002E-2</v>
      </c>
      <c r="H279" s="162">
        <v>44720</v>
      </c>
      <c r="I279" s="163">
        <v>3990</v>
      </c>
    </row>
    <row r="280" spans="1:9" ht="16.899999999999999" customHeight="1" x14ac:dyDescent="0.25">
      <c r="A280" s="135" t="s">
        <v>147</v>
      </c>
      <c r="B280" s="136">
        <v>2013</v>
      </c>
      <c r="C280" s="161">
        <v>21</v>
      </c>
      <c r="D280" s="135" t="s">
        <v>52</v>
      </c>
      <c r="E280" s="137">
        <v>0.71098041000000001</v>
      </c>
      <c r="F280" s="138">
        <v>0.15112125000000001</v>
      </c>
      <c r="G280" s="137">
        <v>0.13789834000000001</v>
      </c>
      <c r="H280" s="162">
        <v>48004</v>
      </c>
      <c r="I280" s="163">
        <v>706</v>
      </c>
    </row>
    <row r="281" spans="1:9" ht="16.899999999999999" customHeight="1" x14ac:dyDescent="0.25">
      <c r="A281" s="135" t="s">
        <v>147</v>
      </c>
      <c r="B281" s="136">
        <v>2013</v>
      </c>
      <c r="C281" s="161">
        <v>22</v>
      </c>
      <c r="D281" s="135" t="s">
        <v>53</v>
      </c>
      <c r="E281" s="137">
        <v>0.78095291</v>
      </c>
      <c r="F281" s="138">
        <v>0.10426493000000001</v>
      </c>
      <c r="G281" s="137">
        <v>0.11478215999999999</v>
      </c>
      <c r="H281" s="162">
        <v>48694</v>
      </c>
      <c r="I281" s="163" t="s">
        <v>149</v>
      </c>
    </row>
    <row r="282" spans="1:9" ht="16.899999999999999" customHeight="1" x14ac:dyDescent="0.25">
      <c r="A282" s="135" t="s">
        <v>147</v>
      </c>
      <c r="B282" s="136">
        <v>2013</v>
      </c>
      <c r="C282" s="161">
        <v>23</v>
      </c>
      <c r="D282" s="135" t="s">
        <v>54</v>
      </c>
      <c r="E282" s="137">
        <v>0.82691364000000001</v>
      </c>
      <c r="F282" s="138">
        <v>8.6497000000000004E-2</v>
      </c>
      <c r="G282" s="137">
        <v>8.6589369999999999E-2</v>
      </c>
      <c r="H282" s="162">
        <v>48633</v>
      </c>
      <c r="I282" s="163" t="s">
        <v>149</v>
      </c>
    </row>
    <row r="283" spans="1:9" ht="16.899999999999999" customHeight="1" x14ac:dyDescent="0.25">
      <c r="A283" s="135" t="s">
        <v>147</v>
      </c>
      <c r="B283" s="136">
        <v>2013</v>
      </c>
      <c r="C283" s="161">
        <v>24</v>
      </c>
      <c r="D283" s="135" t="s">
        <v>55</v>
      </c>
      <c r="E283" s="137">
        <v>0.70773679</v>
      </c>
      <c r="F283" s="138">
        <v>0.14602599999999999</v>
      </c>
      <c r="G283" s="137">
        <v>0.14623722</v>
      </c>
      <c r="H283" s="162">
        <v>48618</v>
      </c>
      <c r="I283" s="163" t="s">
        <v>149</v>
      </c>
    </row>
    <row r="284" spans="1:9" ht="16.899999999999999" customHeight="1" x14ac:dyDescent="0.25">
      <c r="A284" s="135" t="s">
        <v>159</v>
      </c>
      <c r="B284" s="136">
        <v>2013</v>
      </c>
      <c r="C284" s="161">
        <v>25</v>
      </c>
      <c r="D284" s="135" t="s">
        <v>56</v>
      </c>
      <c r="E284" s="137">
        <v>0.75099556000000001</v>
      </c>
      <c r="F284" s="138">
        <v>0.14924319999999999</v>
      </c>
      <c r="G284" s="137">
        <v>9.9761240000000001E-2</v>
      </c>
      <c r="H284" s="162">
        <v>48551</v>
      </c>
      <c r="I284" s="163" t="s">
        <v>149</v>
      </c>
    </row>
    <row r="285" spans="1:9" ht="34.9" customHeight="1" x14ac:dyDescent="0.25">
      <c r="A285" s="135" t="s">
        <v>147</v>
      </c>
      <c r="B285" s="136">
        <v>2013</v>
      </c>
      <c r="C285" s="161">
        <v>26</v>
      </c>
      <c r="D285" s="135" t="s">
        <v>57</v>
      </c>
      <c r="E285" s="137">
        <v>0.42362694000000001</v>
      </c>
      <c r="F285" s="138">
        <v>0.25013564999999999</v>
      </c>
      <c r="G285" s="137">
        <v>0.32623740000000001</v>
      </c>
      <c r="H285" s="162">
        <v>47673</v>
      </c>
      <c r="I285" s="163">
        <v>599</v>
      </c>
    </row>
    <row r="286" spans="1:9" ht="16.899999999999999" customHeight="1" x14ac:dyDescent="0.25">
      <c r="A286" s="135" t="s">
        <v>147</v>
      </c>
      <c r="B286" s="136">
        <v>2013</v>
      </c>
      <c r="C286" s="161">
        <v>27</v>
      </c>
      <c r="D286" s="135" t="s">
        <v>58</v>
      </c>
      <c r="E286" s="137">
        <v>0.54198294000000002</v>
      </c>
      <c r="F286" s="138">
        <v>0.2386084</v>
      </c>
      <c r="G286" s="137">
        <v>0.21940866000000001</v>
      </c>
      <c r="H286" s="162">
        <v>45969</v>
      </c>
      <c r="I286" s="163">
        <v>2236</v>
      </c>
    </row>
    <row r="287" spans="1:9" ht="16.899999999999999" customHeight="1" x14ac:dyDescent="0.25">
      <c r="A287" s="135" t="s">
        <v>147</v>
      </c>
      <c r="B287" s="136">
        <v>2013</v>
      </c>
      <c r="C287" s="161">
        <v>28</v>
      </c>
      <c r="D287" s="135" t="s">
        <v>191</v>
      </c>
      <c r="E287" s="137">
        <v>0.72241352000000003</v>
      </c>
      <c r="F287" s="138">
        <v>0.15291334000000001</v>
      </c>
      <c r="G287" s="137">
        <v>0.12467312999999999</v>
      </c>
      <c r="H287" s="162">
        <v>47768</v>
      </c>
      <c r="I287" s="163">
        <v>366</v>
      </c>
    </row>
    <row r="288" spans="1:9" ht="34.9" customHeight="1" x14ac:dyDescent="0.25">
      <c r="A288" s="135" t="s">
        <v>147</v>
      </c>
      <c r="B288" s="136">
        <v>2013</v>
      </c>
      <c r="C288" s="161">
        <v>29</v>
      </c>
      <c r="D288" s="135" t="s">
        <v>100</v>
      </c>
      <c r="E288" s="137">
        <v>0.58479205000000001</v>
      </c>
      <c r="F288" s="138">
        <v>0.20655448000000001</v>
      </c>
      <c r="G288" s="137">
        <v>0.20865347000000001</v>
      </c>
      <c r="H288" s="162">
        <v>46410</v>
      </c>
      <c r="I288" s="163">
        <v>1727</v>
      </c>
    </row>
    <row r="289" spans="1:9" ht="34.9" customHeight="1" x14ac:dyDescent="0.25">
      <c r="A289" s="135" t="s">
        <v>159</v>
      </c>
      <c r="B289" s="136">
        <v>2013</v>
      </c>
      <c r="C289" s="161">
        <v>30</v>
      </c>
      <c r="D289" s="135" t="s">
        <v>60</v>
      </c>
      <c r="E289" s="137">
        <v>0.62425799000000004</v>
      </c>
      <c r="F289" s="138">
        <v>0.22025405000000001</v>
      </c>
      <c r="G289" s="137">
        <v>0.15548796000000001</v>
      </c>
      <c r="H289" s="162">
        <v>44839</v>
      </c>
      <c r="I289" s="163">
        <v>3353</v>
      </c>
    </row>
    <row r="290" spans="1:9" ht="16.899999999999999" customHeight="1" x14ac:dyDescent="0.25">
      <c r="A290" s="135" t="s">
        <v>147</v>
      </c>
      <c r="B290" s="136">
        <v>2013</v>
      </c>
      <c r="C290" s="161">
        <v>31</v>
      </c>
      <c r="D290" s="135" t="s">
        <v>61</v>
      </c>
      <c r="E290" s="137">
        <v>0.51457635000000002</v>
      </c>
      <c r="F290" s="138">
        <v>0.24552510999999999</v>
      </c>
      <c r="G290" s="137">
        <v>0.23989853999999999</v>
      </c>
      <c r="H290" s="162">
        <v>47401</v>
      </c>
      <c r="I290" s="163">
        <v>770</v>
      </c>
    </row>
    <row r="291" spans="1:9" ht="16.899999999999999" customHeight="1" x14ac:dyDescent="0.25">
      <c r="A291" s="135" t="s">
        <v>147</v>
      </c>
      <c r="B291" s="136">
        <v>2013</v>
      </c>
      <c r="C291" s="161">
        <v>32</v>
      </c>
      <c r="D291" s="135" t="s">
        <v>102</v>
      </c>
      <c r="E291" s="137">
        <v>0.55791754000000005</v>
      </c>
      <c r="F291" s="138">
        <v>0.26559791999999999</v>
      </c>
      <c r="G291" s="137">
        <v>0.17648454</v>
      </c>
      <c r="H291" s="162">
        <v>43121</v>
      </c>
      <c r="I291" s="163">
        <v>4995</v>
      </c>
    </row>
    <row r="292" spans="1:9" ht="34.9" customHeight="1" x14ac:dyDescent="0.25">
      <c r="A292" s="135" t="s">
        <v>161</v>
      </c>
      <c r="B292" s="136">
        <v>2013</v>
      </c>
      <c r="C292" s="161">
        <v>33</v>
      </c>
      <c r="D292" s="135" t="s">
        <v>162</v>
      </c>
      <c r="E292" s="137">
        <v>0.48637661999999998</v>
      </c>
      <c r="F292" s="138">
        <v>0.23092114</v>
      </c>
      <c r="G292" s="137">
        <v>0.28270224999999999</v>
      </c>
      <c r="H292" s="162">
        <v>47984</v>
      </c>
      <c r="I292" s="163" t="s">
        <v>149</v>
      </c>
    </row>
    <row r="293" spans="1:9" ht="34.9" customHeight="1" x14ac:dyDescent="0.25">
      <c r="A293" s="135" t="s">
        <v>161</v>
      </c>
      <c r="B293" s="136">
        <v>2013</v>
      </c>
      <c r="C293" s="161">
        <v>34</v>
      </c>
      <c r="D293" s="135" t="s">
        <v>163</v>
      </c>
      <c r="E293" s="137">
        <v>0.53449363999999999</v>
      </c>
      <c r="F293" s="138">
        <v>0.21943712000000001</v>
      </c>
      <c r="G293" s="137">
        <v>0.24606923999999999</v>
      </c>
      <c r="H293" s="162">
        <v>47933</v>
      </c>
      <c r="I293" s="163" t="s">
        <v>149</v>
      </c>
    </row>
    <row r="294" spans="1:9" ht="34.9" customHeight="1" x14ac:dyDescent="0.25">
      <c r="A294" s="135" t="s">
        <v>161</v>
      </c>
      <c r="B294" s="136">
        <v>2013</v>
      </c>
      <c r="C294" s="161">
        <v>35</v>
      </c>
      <c r="D294" s="135" t="s">
        <v>164</v>
      </c>
      <c r="E294" s="137">
        <v>0.50526473000000005</v>
      </c>
      <c r="F294" s="138">
        <v>0.21344065000000001</v>
      </c>
      <c r="G294" s="137">
        <v>0.28129462</v>
      </c>
      <c r="H294" s="162">
        <v>47830</v>
      </c>
      <c r="I294" s="163" t="s">
        <v>149</v>
      </c>
    </row>
    <row r="295" spans="1:9" ht="34.9" customHeight="1" x14ac:dyDescent="0.25">
      <c r="A295" s="135" t="s">
        <v>161</v>
      </c>
      <c r="B295" s="136">
        <v>2013</v>
      </c>
      <c r="C295" s="161">
        <v>36</v>
      </c>
      <c r="D295" s="135" t="s">
        <v>165</v>
      </c>
      <c r="E295" s="137">
        <v>0.66489693999999999</v>
      </c>
      <c r="F295" s="138">
        <v>0.17655518000000001</v>
      </c>
      <c r="G295" s="137">
        <v>0.15854789</v>
      </c>
      <c r="H295" s="162">
        <v>47779</v>
      </c>
      <c r="I295" s="163" t="s">
        <v>149</v>
      </c>
    </row>
    <row r="296" spans="1:9" ht="34.9" customHeight="1" x14ac:dyDescent="0.25">
      <c r="A296" s="135" t="s">
        <v>161</v>
      </c>
      <c r="B296" s="136">
        <v>2013</v>
      </c>
      <c r="C296" s="161">
        <v>37</v>
      </c>
      <c r="D296" s="135" t="s">
        <v>65</v>
      </c>
      <c r="E296" s="137">
        <v>0.49391045</v>
      </c>
      <c r="F296" s="138">
        <v>0.16283325000000001</v>
      </c>
      <c r="G296" s="137">
        <v>0.34325630000000001</v>
      </c>
      <c r="H296" s="162">
        <v>47866</v>
      </c>
      <c r="I296" s="163" t="s">
        <v>149</v>
      </c>
    </row>
    <row r="297" spans="1:9" ht="34.9" customHeight="1" x14ac:dyDescent="0.25">
      <c r="A297" s="135" t="s">
        <v>161</v>
      </c>
      <c r="B297" s="136">
        <v>2013</v>
      </c>
      <c r="C297" s="161">
        <v>38</v>
      </c>
      <c r="D297" s="135" t="s">
        <v>166</v>
      </c>
      <c r="E297" s="137">
        <v>0.55671731000000002</v>
      </c>
      <c r="F297" s="138">
        <v>0.21850723</v>
      </c>
      <c r="G297" s="137">
        <v>0.22477546000000001</v>
      </c>
      <c r="H297" s="162">
        <v>47896</v>
      </c>
      <c r="I297" s="163" t="s">
        <v>149</v>
      </c>
    </row>
    <row r="299" spans="1:9" ht="16.149999999999999" customHeight="1" x14ac:dyDescent="0.2">
      <c r="A299" s="145" t="s">
        <v>167</v>
      </c>
    </row>
    <row r="300" spans="1:9" ht="16.149999999999999" customHeight="1" x14ac:dyDescent="0.2">
      <c r="A300" s="145" t="s">
        <v>168</v>
      </c>
    </row>
    <row r="301" spans="1:9" ht="16.149999999999999" customHeight="1" x14ac:dyDescent="0.2">
      <c r="A301" s="145" t="s">
        <v>192</v>
      </c>
    </row>
    <row r="302" spans="1:9" ht="16.149999999999999" customHeight="1" x14ac:dyDescent="0.2">
      <c r="A302" s="145" t="s">
        <v>170</v>
      </c>
    </row>
    <row r="303" spans="1:9" ht="16.149999999999999" customHeight="1" x14ac:dyDescent="0.2">
      <c r="A303" s="145" t="s">
        <v>187</v>
      </c>
    </row>
    <row r="304" spans="1:9" ht="16.149999999999999" customHeight="1" x14ac:dyDescent="0.2">
      <c r="A304" s="145" t="s">
        <v>172</v>
      </c>
    </row>
  </sheetData>
  <sheetProtection algorithmName="SHA-512" hashValue="UjCdi4xLdlMXH6959txH0tNAIKAs49JbhqFSFFO4OAHWrcjwOraZlukdphtqJ8g5a0tba2Q/K4nnwqBwAl7wOA==" saltValue="kRwVlspzBIE8ddVPlXpzxA==" spinCount="100000" sheet="1" objects="1" scenarios="1"/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52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4" t="s">
        <v>193</v>
      </c>
      <c r="B1" s="165"/>
      <c r="C1" s="165"/>
    </row>
    <row r="2" spans="1:3" ht="13.9" customHeight="1" x14ac:dyDescent="0.2">
      <c r="A2" s="165"/>
      <c r="B2" s="165"/>
      <c r="C2" s="165"/>
    </row>
    <row r="3" spans="1:3" ht="48" customHeight="1" x14ac:dyDescent="0.25">
      <c r="A3" s="215" t="s">
        <v>194</v>
      </c>
      <c r="B3" s="215"/>
      <c r="C3" s="215"/>
    </row>
    <row r="4" spans="1:3" ht="13.9" customHeight="1" x14ac:dyDescent="0.2">
      <c r="A4" s="165"/>
      <c r="B4" s="165"/>
      <c r="C4" s="165"/>
    </row>
    <row r="5" spans="1:3" ht="48" customHeight="1" x14ac:dyDescent="0.25">
      <c r="A5" s="214" t="s">
        <v>195</v>
      </c>
      <c r="B5" s="214"/>
      <c r="C5" s="214"/>
    </row>
    <row r="6" spans="1:3" ht="16.899999999999999" customHeight="1" x14ac:dyDescent="0.2">
      <c r="A6" s="165"/>
      <c r="B6" s="216">
        <v>2020</v>
      </c>
      <c r="C6" s="216"/>
    </row>
    <row r="7" spans="1:3" ht="16.899999999999999" customHeight="1" x14ac:dyDescent="0.25">
      <c r="A7" s="165"/>
      <c r="B7" s="166" t="s">
        <v>174</v>
      </c>
      <c r="C7" s="167" t="s">
        <v>175</v>
      </c>
    </row>
    <row r="8" spans="1:3" ht="16.899999999999999" customHeight="1" x14ac:dyDescent="0.25">
      <c r="A8" s="148" t="s">
        <v>196</v>
      </c>
      <c r="B8" s="155">
        <v>2801</v>
      </c>
      <c r="C8" s="168">
        <v>7.5587660000000001E-2</v>
      </c>
    </row>
    <row r="9" spans="1:3" ht="16.899999999999999" customHeight="1" x14ac:dyDescent="0.25">
      <c r="A9" s="148" t="s">
        <v>197</v>
      </c>
      <c r="B9" s="155">
        <v>1374</v>
      </c>
      <c r="C9" s="168">
        <v>3.591304E-2</v>
      </c>
    </row>
    <row r="10" spans="1:3" ht="16.899999999999999" customHeight="1" x14ac:dyDescent="0.25">
      <c r="A10" s="148" t="s">
        <v>198</v>
      </c>
      <c r="B10" s="155">
        <v>788</v>
      </c>
      <c r="C10" s="168">
        <v>2.049138E-2</v>
      </c>
    </row>
    <row r="11" spans="1:3" ht="16.899999999999999" customHeight="1" x14ac:dyDescent="0.25">
      <c r="A11" s="148" t="s">
        <v>199</v>
      </c>
      <c r="B11" s="155">
        <v>1228</v>
      </c>
      <c r="C11" s="168">
        <v>3.1221559999999999E-2</v>
      </c>
    </row>
    <row r="12" spans="1:3" ht="16.899999999999999" customHeight="1" x14ac:dyDescent="0.25">
      <c r="A12" s="148" t="s">
        <v>200</v>
      </c>
      <c r="B12" s="155">
        <v>12626</v>
      </c>
      <c r="C12" s="168">
        <v>0.32297914999999999</v>
      </c>
    </row>
    <row r="13" spans="1:3" ht="31.9" customHeight="1" x14ac:dyDescent="0.25">
      <c r="A13" s="169" t="s">
        <v>201</v>
      </c>
      <c r="B13" s="170">
        <v>20722</v>
      </c>
      <c r="C13" s="171">
        <v>0.51380720999999996</v>
      </c>
    </row>
    <row r="14" spans="1:3" ht="16.899999999999999" customHeight="1" x14ac:dyDescent="0.25">
      <c r="A14" s="172" t="s">
        <v>185</v>
      </c>
      <c r="B14" s="159">
        <v>39539</v>
      </c>
      <c r="C14" s="173">
        <v>1</v>
      </c>
    </row>
    <row r="16" spans="1:3" ht="13.9" customHeight="1" x14ac:dyDescent="0.2">
      <c r="A16" s="165"/>
      <c r="B16" s="165"/>
      <c r="C16" s="165"/>
    </row>
    <row r="17" spans="1:3" ht="48" customHeight="1" x14ac:dyDescent="0.25">
      <c r="A17" s="214" t="s">
        <v>202</v>
      </c>
      <c r="B17" s="214"/>
      <c r="C17" s="214"/>
    </row>
    <row r="18" spans="1:3" ht="16.899999999999999" customHeight="1" x14ac:dyDescent="0.2">
      <c r="A18" s="165"/>
      <c r="B18" s="216">
        <v>2020</v>
      </c>
      <c r="C18" s="216"/>
    </row>
    <row r="19" spans="1:3" ht="16.899999999999999" customHeight="1" x14ac:dyDescent="0.25">
      <c r="A19" s="165"/>
      <c r="B19" s="166" t="s">
        <v>174</v>
      </c>
      <c r="C19" s="167" t="s">
        <v>175</v>
      </c>
    </row>
    <row r="20" spans="1:3" ht="34.9" customHeight="1" x14ac:dyDescent="0.25">
      <c r="A20" s="148" t="s">
        <v>203</v>
      </c>
      <c r="B20" s="155">
        <v>1232</v>
      </c>
      <c r="C20" s="168">
        <v>3.4019239999999999E-2</v>
      </c>
    </row>
    <row r="21" spans="1:3" ht="16.899999999999999" customHeight="1" x14ac:dyDescent="0.25">
      <c r="A21" s="148" t="s">
        <v>204</v>
      </c>
      <c r="B21" s="155">
        <v>12227</v>
      </c>
      <c r="C21" s="168">
        <v>0.31666086999999998</v>
      </c>
    </row>
    <row r="22" spans="1:3" ht="16.899999999999999" customHeight="1" x14ac:dyDescent="0.25">
      <c r="A22" s="148" t="s">
        <v>205</v>
      </c>
      <c r="B22" s="155">
        <v>10183</v>
      </c>
      <c r="C22" s="168">
        <v>0.26509336</v>
      </c>
    </row>
    <row r="23" spans="1:3" ht="16.899999999999999" customHeight="1" x14ac:dyDescent="0.25">
      <c r="A23" s="148" t="s">
        <v>206</v>
      </c>
      <c r="B23" s="155">
        <v>5941</v>
      </c>
      <c r="C23" s="168">
        <v>0.16148293999999999</v>
      </c>
    </row>
    <row r="24" spans="1:3" ht="16.899999999999999" customHeight="1" x14ac:dyDescent="0.25">
      <c r="A24" s="148" t="s">
        <v>207</v>
      </c>
      <c r="B24" s="155">
        <v>1253</v>
      </c>
      <c r="C24" s="168">
        <v>3.2345239999999997E-2</v>
      </c>
    </row>
    <row r="25" spans="1:3" ht="16.899999999999999" customHeight="1" x14ac:dyDescent="0.25">
      <c r="A25" s="148" t="s">
        <v>208</v>
      </c>
      <c r="B25" s="155">
        <v>2938</v>
      </c>
      <c r="C25" s="168">
        <v>7.4057620000000005E-2</v>
      </c>
    </row>
    <row r="26" spans="1:3" ht="16.899999999999999" customHeight="1" x14ac:dyDescent="0.25">
      <c r="A26" s="148" t="s">
        <v>209</v>
      </c>
      <c r="B26" s="155">
        <v>539</v>
      </c>
      <c r="C26" s="168">
        <v>1.522862E-2</v>
      </c>
    </row>
    <row r="27" spans="1:3" ht="16.899999999999999" customHeight="1" x14ac:dyDescent="0.25">
      <c r="A27" s="169" t="s">
        <v>210</v>
      </c>
      <c r="B27" s="170">
        <v>21296</v>
      </c>
      <c r="C27" s="171">
        <v>0.52505325000000003</v>
      </c>
    </row>
    <row r="28" spans="1:3" ht="31.9" customHeight="1" x14ac:dyDescent="0.25">
      <c r="A28" s="172" t="s">
        <v>211</v>
      </c>
      <c r="B28" s="159">
        <v>39525</v>
      </c>
      <c r="C28" s="153" t="s">
        <v>184</v>
      </c>
    </row>
    <row r="30" spans="1:3" ht="13.9" customHeight="1" x14ac:dyDescent="0.2">
      <c r="A30" s="165"/>
      <c r="B30" s="165"/>
      <c r="C30" s="165"/>
    </row>
    <row r="31" spans="1:3" ht="61.9" customHeight="1" x14ac:dyDescent="0.25">
      <c r="A31" s="214" t="s">
        <v>212</v>
      </c>
      <c r="B31" s="214"/>
      <c r="C31" s="214"/>
    </row>
    <row r="32" spans="1:3" ht="16.899999999999999" customHeight="1" x14ac:dyDescent="0.2">
      <c r="A32" s="165"/>
      <c r="B32" s="216">
        <v>2020</v>
      </c>
      <c r="C32" s="216"/>
    </row>
    <row r="33" spans="1:3" ht="16.899999999999999" customHeight="1" x14ac:dyDescent="0.25">
      <c r="A33" s="165"/>
      <c r="B33" s="166" t="s">
        <v>174</v>
      </c>
      <c r="C33" s="167" t="s">
        <v>175</v>
      </c>
    </row>
    <row r="34" spans="1:3" ht="16.899999999999999" customHeight="1" x14ac:dyDescent="0.25">
      <c r="A34" s="148" t="s">
        <v>196</v>
      </c>
      <c r="B34" s="155">
        <v>625</v>
      </c>
      <c r="C34" s="168">
        <v>3.5119869999999997E-2</v>
      </c>
    </row>
    <row r="35" spans="1:3" ht="16.899999999999999" customHeight="1" x14ac:dyDescent="0.25">
      <c r="A35" s="148" t="s">
        <v>197</v>
      </c>
      <c r="B35" s="155">
        <v>503</v>
      </c>
      <c r="C35" s="168">
        <v>2.8550900000000001E-2</v>
      </c>
    </row>
    <row r="36" spans="1:3" ht="16.899999999999999" customHeight="1" x14ac:dyDescent="0.25">
      <c r="A36" s="148" t="s">
        <v>198</v>
      </c>
      <c r="B36" s="155">
        <v>614</v>
      </c>
      <c r="C36" s="168">
        <v>3.6455330000000001E-2</v>
      </c>
    </row>
    <row r="37" spans="1:3" ht="16.899999999999999" customHeight="1" x14ac:dyDescent="0.25">
      <c r="A37" s="148" t="s">
        <v>199</v>
      </c>
      <c r="B37" s="155">
        <v>1533</v>
      </c>
      <c r="C37" s="168">
        <v>9.0348139999999993E-2</v>
      </c>
    </row>
    <row r="38" spans="1:3" ht="16.899999999999999" customHeight="1" x14ac:dyDescent="0.25">
      <c r="A38" s="169" t="s">
        <v>200</v>
      </c>
      <c r="B38" s="170">
        <v>14775</v>
      </c>
      <c r="C38" s="171">
        <v>0.80952575000000004</v>
      </c>
    </row>
    <row r="39" spans="1:3" ht="16.899999999999999" customHeight="1" x14ac:dyDescent="0.25">
      <c r="A39" s="172" t="s">
        <v>185</v>
      </c>
      <c r="B39" s="159">
        <v>18050</v>
      </c>
      <c r="C39" s="173">
        <v>1</v>
      </c>
    </row>
    <row r="41" spans="1:3" ht="13.9" customHeight="1" x14ac:dyDescent="0.2">
      <c r="A41" s="165"/>
      <c r="B41" s="165"/>
      <c r="C41" s="165"/>
    </row>
    <row r="42" spans="1:3" ht="48" customHeight="1" x14ac:dyDescent="0.25">
      <c r="A42" s="214" t="s">
        <v>213</v>
      </c>
      <c r="B42" s="214"/>
      <c r="C42" s="214"/>
    </row>
    <row r="43" spans="1:3" ht="16.899999999999999" customHeight="1" x14ac:dyDescent="0.2">
      <c r="A43" s="165"/>
      <c r="B43" s="216">
        <v>2020</v>
      </c>
      <c r="C43" s="216"/>
    </row>
    <row r="44" spans="1:3" ht="16.899999999999999" customHeight="1" x14ac:dyDescent="0.25">
      <c r="A44" s="165"/>
      <c r="B44" s="166" t="s">
        <v>174</v>
      </c>
      <c r="C44" s="167" t="s">
        <v>175</v>
      </c>
    </row>
    <row r="45" spans="1:3" ht="16.899999999999999" customHeight="1" x14ac:dyDescent="0.25">
      <c r="A45" s="148" t="s">
        <v>214</v>
      </c>
      <c r="B45" s="155">
        <v>2615</v>
      </c>
      <c r="C45" s="168">
        <v>6.8980799999999995E-2</v>
      </c>
    </row>
    <row r="46" spans="1:3" ht="16.899999999999999" customHeight="1" x14ac:dyDescent="0.25">
      <c r="A46" s="148" t="s">
        <v>215</v>
      </c>
      <c r="B46" s="155">
        <v>608</v>
      </c>
      <c r="C46" s="168">
        <v>1.5811229999999999E-2</v>
      </c>
    </row>
    <row r="47" spans="1:3" ht="16.899999999999999" customHeight="1" x14ac:dyDescent="0.25">
      <c r="A47" s="169" t="s">
        <v>216</v>
      </c>
      <c r="B47" s="170">
        <v>36250</v>
      </c>
      <c r="C47" s="171">
        <v>0.91520796999999998</v>
      </c>
    </row>
    <row r="48" spans="1:3" ht="16.899999999999999" customHeight="1" x14ac:dyDescent="0.25">
      <c r="A48" s="172" t="s">
        <v>185</v>
      </c>
      <c r="B48" s="159">
        <v>39473</v>
      </c>
      <c r="C48" s="173">
        <v>1</v>
      </c>
    </row>
    <row r="50" spans="1:3" ht="13.9" customHeight="1" x14ac:dyDescent="0.2">
      <c r="A50" s="165"/>
      <c r="B50" s="165"/>
      <c r="C50" s="165"/>
    </row>
    <row r="51" spans="1:3" ht="16.149999999999999" customHeight="1" x14ac:dyDescent="0.2">
      <c r="A51" s="217" t="s">
        <v>217</v>
      </c>
      <c r="B51" s="217"/>
      <c r="C51" s="217"/>
    </row>
    <row r="52" spans="1:3" ht="16.149999999999999" customHeight="1" x14ac:dyDescent="0.2">
      <c r="A52" s="217" t="s">
        <v>218</v>
      </c>
      <c r="B52" s="217"/>
      <c r="C52" s="217"/>
    </row>
  </sheetData>
  <sheetProtection algorithmName="SHA-512" hashValue="VdvI2GI8eDGMonBaomfuzPbxT11tbHxOzwpWrnTJQwglKRD19cwUsKL7kvSAlizOLkP+JdROd2TPAwkThM89Nw==" saltValue="Ywy1SuOPuAeItk1fDzAeiA==" spinCount="100000" sheet="1" objects="1" scenarios="1"/>
  <mergeCells count="11">
    <mergeCell ref="B32:C32"/>
    <mergeCell ref="A42:C42"/>
    <mergeCell ref="B43:C43"/>
    <mergeCell ref="A51:C51"/>
    <mergeCell ref="A52:C52"/>
    <mergeCell ref="A31:C31"/>
    <mergeCell ref="A3:C3"/>
    <mergeCell ref="A5:C5"/>
    <mergeCell ref="B6:C6"/>
    <mergeCell ref="A17:C17"/>
    <mergeCell ref="B18:C18"/>
  </mergeCells>
  <pageMargins left="0.05" right="0.05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38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7" width="14.7109375" style="134" bestFit="1" customWidth="1"/>
    <col min="8" max="16384" width="11.5703125" style="134"/>
  </cols>
  <sheetData>
    <row r="1" spans="1:7" ht="22.15" customHeight="1" x14ac:dyDescent="0.3">
      <c r="A1" s="164" t="s">
        <v>219</v>
      </c>
      <c r="B1" s="165"/>
      <c r="C1" s="165"/>
      <c r="D1" s="165"/>
      <c r="E1" s="165"/>
      <c r="F1" s="165"/>
      <c r="G1" s="165"/>
    </row>
    <row r="2" spans="1:7" ht="13.9" customHeight="1" x14ac:dyDescent="0.2">
      <c r="A2" s="165"/>
      <c r="B2" s="165"/>
      <c r="C2" s="165"/>
      <c r="D2" s="165"/>
      <c r="E2" s="165"/>
      <c r="F2" s="165"/>
      <c r="G2" s="165"/>
    </row>
    <row r="3" spans="1:7" ht="48" customHeight="1" x14ac:dyDescent="0.25">
      <c r="A3" s="214" t="s">
        <v>220</v>
      </c>
      <c r="B3" s="214"/>
      <c r="C3" s="214"/>
      <c r="D3" s="214"/>
      <c r="E3" s="214"/>
      <c r="F3" s="214"/>
      <c r="G3" s="214"/>
    </row>
    <row r="4" spans="1:7" ht="34.9" customHeight="1" x14ac:dyDescent="0.25">
      <c r="A4" s="165"/>
      <c r="B4" s="218" t="s">
        <v>221</v>
      </c>
      <c r="C4" s="218"/>
      <c r="D4" s="218" t="s">
        <v>222</v>
      </c>
      <c r="E4" s="218"/>
      <c r="F4" s="219" t="s">
        <v>223</v>
      </c>
      <c r="G4" s="219"/>
    </row>
    <row r="5" spans="1:7" ht="16.899999999999999" customHeight="1" x14ac:dyDescent="0.2">
      <c r="A5" s="165"/>
      <c r="B5" s="220">
        <v>2020</v>
      </c>
      <c r="C5" s="220"/>
      <c r="D5" s="220">
        <v>2020</v>
      </c>
      <c r="E5" s="220"/>
      <c r="F5" s="216">
        <v>2020</v>
      </c>
      <c r="G5" s="216"/>
    </row>
    <row r="6" spans="1:7" ht="16.899999999999999" customHeight="1" x14ac:dyDescent="0.25">
      <c r="A6" s="165"/>
      <c r="B6" s="166" t="s">
        <v>174</v>
      </c>
      <c r="C6" s="174" t="s">
        <v>175</v>
      </c>
      <c r="D6" s="166" t="s">
        <v>174</v>
      </c>
      <c r="E6" s="174" t="s">
        <v>175</v>
      </c>
      <c r="F6" s="166" t="s">
        <v>174</v>
      </c>
      <c r="G6" s="167" t="s">
        <v>175</v>
      </c>
    </row>
    <row r="7" spans="1:7" ht="16.899999999999999" customHeight="1" x14ac:dyDescent="0.25">
      <c r="A7" s="148" t="s">
        <v>224</v>
      </c>
      <c r="B7" s="155">
        <v>1828</v>
      </c>
      <c r="C7" s="175">
        <v>4.7434589999999999E-2</v>
      </c>
      <c r="D7" s="155">
        <v>33911</v>
      </c>
      <c r="E7" s="175">
        <v>0.85672841</v>
      </c>
      <c r="F7" s="155">
        <v>31601</v>
      </c>
      <c r="G7" s="168">
        <v>0.80522669999999996</v>
      </c>
    </row>
    <row r="8" spans="1:7" ht="16.899999999999999" customHeight="1" x14ac:dyDescent="0.25">
      <c r="A8" s="148" t="s">
        <v>225</v>
      </c>
      <c r="B8" s="155">
        <v>10273</v>
      </c>
      <c r="C8" s="175">
        <v>0.26630245000000002</v>
      </c>
      <c r="D8" s="155">
        <v>1387</v>
      </c>
      <c r="E8" s="175">
        <v>3.5386460000000002E-2</v>
      </c>
      <c r="F8" s="155">
        <v>3424</v>
      </c>
      <c r="G8" s="168">
        <v>8.7423769999999998E-2</v>
      </c>
    </row>
    <row r="9" spans="1:7" ht="16.899999999999999" customHeight="1" x14ac:dyDescent="0.25">
      <c r="A9" s="148" t="s">
        <v>226</v>
      </c>
      <c r="B9" s="155">
        <v>7668</v>
      </c>
      <c r="C9" s="175">
        <v>0.18728112999999999</v>
      </c>
      <c r="D9" s="155">
        <v>317</v>
      </c>
      <c r="E9" s="175">
        <v>7.7480400000000003E-3</v>
      </c>
      <c r="F9" s="155">
        <v>786</v>
      </c>
      <c r="G9" s="168">
        <v>1.9431279999999999E-2</v>
      </c>
    </row>
    <row r="10" spans="1:7" ht="16.899999999999999" customHeight="1" x14ac:dyDescent="0.25">
      <c r="A10" s="148" t="s">
        <v>227</v>
      </c>
      <c r="B10" s="155">
        <v>2599</v>
      </c>
      <c r="C10" s="175">
        <v>6.0791270000000001E-2</v>
      </c>
      <c r="D10" s="155">
        <v>113</v>
      </c>
      <c r="E10" s="175">
        <v>2.7523399999999998E-3</v>
      </c>
      <c r="F10" s="155">
        <v>247</v>
      </c>
      <c r="G10" s="168">
        <v>5.9056300000000003E-3</v>
      </c>
    </row>
    <row r="11" spans="1:7" ht="16.899999999999999" customHeight="1" x14ac:dyDescent="0.25">
      <c r="A11" s="148" t="s">
        <v>228</v>
      </c>
      <c r="B11" s="155">
        <v>3959</v>
      </c>
      <c r="C11" s="175">
        <v>9.2676949999999994E-2</v>
      </c>
      <c r="D11" s="155">
        <v>285</v>
      </c>
      <c r="E11" s="175">
        <v>7.2838699999999996E-3</v>
      </c>
      <c r="F11" s="155">
        <v>391</v>
      </c>
      <c r="G11" s="168">
        <v>9.6693500000000002E-3</v>
      </c>
    </row>
    <row r="12" spans="1:7" ht="46.15" customHeight="1" x14ac:dyDescent="0.25">
      <c r="A12" s="148" t="s">
        <v>229</v>
      </c>
      <c r="B12" s="155">
        <v>2429</v>
      </c>
      <c r="C12" s="175">
        <v>6.6779099999999994E-2</v>
      </c>
      <c r="D12" s="155">
        <v>1302</v>
      </c>
      <c r="E12" s="175">
        <v>3.6540690000000001E-2</v>
      </c>
      <c r="F12" s="155">
        <v>1313</v>
      </c>
      <c r="G12" s="168">
        <v>3.6918260000000001E-2</v>
      </c>
    </row>
    <row r="13" spans="1:7" ht="31.9" customHeight="1" x14ac:dyDescent="0.25">
      <c r="A13" s="148" t="s">
        <v>230</v>
      </c>
      <c r="B13" s="155">
        <v>1083</v>
      </c>
      <c r="C13" s="175">
        <v>2.9140639999999999E-2</v>
      </c>
      <c r="D13" s="155">
        <v>845</v>
      </c>
      <c r="E13" s="175">
        <v>2.2995169999999999E-2</v>
      </c>
      <c r="F13" s="155">
        <v>429</v>
      </c>
      <c r="G13" s="168">
        <v>1.1648210000000001E-2</v>
      </c>
    </row>
    <row r="14" spans="1:7" ht="31.9" customHeight="1" x14ac:dyDescent="0.25">
      <c r="A14" s="148" t="s">
        <v>231</v>
      </c>
      <c r="B14" s="155">
        <v>6493</v>
      </c>
      <c r="C14" s="175">
        <v>0.17863066999999999</v>
      </c>
      <c r="D14" s="155">
        <v>589</v>
      </c>
      <c r="E14" s="175">
        <v>1.6360949999999999E-2</v>
      </c>
      <c r="F14" s="155">
        <v>278</v>
      </c>
      <c r="G14" s="168">
        <v>7.5795100000000002E-3</v>
      </c>
    </row>
    <row r="15" spans="1:7" ht="16.899999999999999" customHeight="1" x14ac:dyDescent="0.25">
      <c r="A15" s="169" t="s">
        <v>232</v>
      </c>
      <c r="B15" s="170">
        <v>2816</v>
      </c>
      <c r="C15" s="176">
        <v>7.0963200000000004E-2</v>
      </c>
      <c r="D15" s="170">
        <v>522</v>
      </c>
      <c r="E15" s="176">
        <v>1.4204069999999999E-2</v>
      </c>
      <c r="F15" s="170">
        <v>608</v>
      </c>
      <c r="G15" s="171">
        <v>1.6197280000000001E-2</v>
      </c>
    </row>
    <row r="16" spans="1:7" ht="16.899999999999999" customHeight="1" x14ac:dyDescent="0.25">
      <c r="A16" s="148" t="s">
        <v>185</v>
      </c>
      <c r="B16" s="155">
        <v>39148</v>
      </c>
      <c r="C16" s="175">
        <v>1</v>
      </c>
      <c r="D16" s="155">
        <v>39271</v>
      </c>
      <c r="E16" s="175">
        <v>1</v>
      </c>
      <c r="F16" s="155">
        <v>39077</v>
      </c>
      <c r="G16" s="168">
        <v>1</v>
      </c>
    </row>
    <row r="18" spans="1:7" ht="22.15" customHeight="1" x14ac:dyDescent="0.3">
      <c r="A18" s="164" t="s">
        <v>233</v>
      </c>
      <c r="B18" s="165"/>
      <c r="C18" s="165"/>
      <c r="D18" s="165"/>
      <c r="E18" s="165"/>
      <c r="F18" s="165"/>
      <c r="G18" s="165"/>
    </row>
    <row r="19" spans="1:7" ht="13.9" customHeight="1" x14ac:dyDescent="0.2">
      <c r="A19" s="165"/>
      <c r="B19" s="165"/>
      <c r="C19" s="165"/>
      <c r="D19" s="165"/>
      <c r="E19" s="165"/>
      <c r="F19" s="165"/>
      <c r="G19" s="165"/>
    </row>
    <row r="20" spans="1:7" ht="48" customHeight="1" x14ac:dyDescent="0.25">
      <c r="A20" s="214" t="s">
        <v>234</v>
      </c>
      <c r="B20" s="214"/>
      <c r="C20" s="214"/>
      <c r="D20" s="214"/>
      <c r="E20" s="214"/>
      <c r="F20" s="214"/>
      <c r="G20" s="214"/>
    </row>
    <row r="21" spans="1:7" ht="52.9" customHeight="1" x14ac:dyDescent="0.25">
      <c r="A21" s="165"/>
      <c r="B21" s="218" t="s">
        <v>235</v>
      </c>
      <c r="C21" s="218"/>
      <c r="D21" s="218">
        <v>2019</v>
      </c>
      <c r="E21" s="218"/>
      <c r="F21" s="219">
        <v>2018</v>
      </c>
      <c r="G21" s="219"/>
    </row>
    <row r="22" spans="1:7" ht="16.899999999999999" customHeight="1" x14ac:dyDescent="0.25">
      <c r="A22" s="165"/>
      <c r="B22" s="166" t="s">
        <v>174</v>
      </c>
      <c r="C22" s="174" t="s">
        <v>175</v>
      </c>
      <c r="D22" s="166" t="s">
        <v>174</v>
      </c>
      <c r="E22" s="174" t="s">
        <v>175</v>
      </c>
      <c r="F22" s="166" t="s">
        <v>174</v>
      </c>
      <c r="G22" s="167" t="s">
        <v>175</v>
      </c>
    </row>
    <row r="23" spans="1:7" ht="16.899999999999999" customHeight="1" x14ac:dyDescent="0.25">
      <c r="A23" s="148" t="s">
        <v>224</v>
      </c>
      <c r="B23" s="155">
        <v>1828</v>
      </c>
      <c r="C23" s="175">
        <v>4.7434589999999999E-2</v>
      </c>
      <c r="D23" s="155">
        <v>883</v>
      </c>
      <c r="E23" s="175">
        <v>2.1863690000000002E-2</v>
      </c>
      <c r="F23" s="155">
        <v>1320</v>
      </c>
      <c r="G23" s="168">
        <v>3.2871909999999997E-2</v>
      </c>
    </row>
    <row r="24" spans="1:7" ht="16.899999999999999" customHeight="1" x14ac:dyDescent="0.25">
      <c r="A24" s="148" t="s">
        <v>225</v>
      </c>
      <c r="B24" s="155">
        <v>10273</v>
      </c>
      <c r="C24" s="175">
        <v>0.26630245000000002</v>
      </c>
      <c r="D24" s="155">
        <v>10171</v>
      </c>
      <c r="E24" s="175">
        <v>0.26295860999999998</v>
      </c>
      <c r="F24" s="155">
        <v>9172</v>
      </c>
      <c r="G24" s="168">
        <v>0.23605803</v>
      </c>
    </row>
    <row r="25" spans="1:7" ht="16.899999999999999" customHeight="1" x14ac:dyDescent="0.25">
      <c r="A25" s="148" t="s">
        <v>226</v>
      </c>
      <c r="B25" s="155">
        <v>7668</v>
      </c>
      <c r="C25" s="175">
        <v>0.18728112999999999</v>
      </c>
      <c r="D25" s="155">
        <v>7629</v>
      </c>
      <c r="E25" s="175">
        <v>0.18453769</v>
      </c>
      <c r="F25" s="155">
        <v>8171</v>
      </c>
      <c r="G25" s="168">
        <v>0.19427072000000001</v>
      </c>
    </row>
    <row r="26" spans="1:7" ht="16.899999999999999" customHeight="1" x14ac:dyDescent="0.25">
      <c r="A26" s="148" t="s">
        <v>227</v>
      </c>
      <c r="B26" s="155">
        <v>2599</v>
      </c>
      <c r="C26" s="175">
        <v>6.0791270000000001E-2</v>
      </c>
      <c r="D26" s="155">
        <v>3012</v>
      </c>
      <c r="E26" s="175">
        <v>6.8204360000000006E-2</v>
      </c>
      <c r="F26" s="155">
        <v>3500</v>
      </c>
      <c r="G26" s="168">
        <v>7.8228759999999994E-2</v>
      </c>
    </row>
    <row r="27" spans="1:7" ht="16.899999999999999" customHeight="1" x14ac:dyDescent="0.25">
      <c r="A27" s="148" t="s">
        <v>228</v>
      </c>
      <c r="B27" s="155">
        <v>3959</v>
      </c>
      <c r="C27" s="175">
        <v>9.2676949999999994E-2</v>
      </c>
      <c r="D27" s="155">
        <v>4446</v>
      </c>
      <c r="E27" s="175">
        <v>0.10150896</v>
      </c>
      <c r="F27" s="155">
        <v>5014</v>
      </c>
      <c r="G27" s="168">
        <v>0.11169642</v>
      </c>
    </row>
    <row r="28" spans="1:7" ht="46.15" customHeight="1" x14ac:dyDescent="0.25">
      <c r="A28" s="148" t="s">
        <v>229</v>
      </c>
      <c r="B28" s="155">
        <v>2429</v>
      </c>
      <c r="C28" s="175">
        <v>6.6779099999999994E-2</v>
      </c>
      <c r="D28" s="155">
        <v>3447</v>
      </c>
      <c r="E28" s="175">
        <v>9.2918879999999995E-2</v>
      </c>
      <c r="F28" s="155">
        <v>3649</v>
      </c>
      <c r="G28" s="168">
        <v>9.4760460000000005E-2</v>
      </c>
    </row>
    <row r="29" spans="1:7" ht="31.9" customHeight="1" x14ac:dyDescent="0.25">
      <c r="A29" s="148" t="s">
        <v>230</v>
      </c>
      <c r="B29" s="155">
        <v>1083</v>
      </c>
      <c r="C29" s="175">
        <v>2.9140639999999999E-2</v>
      </c>
      <c r="D29" s="155">
        <v>1603</v>
      </c>
      <c r="E29" s="175">
        <v>4.3356449999999998E-2</v>
      </c>
      <c r="F29" s="155">
        <v>1719</v>
      </c>
      <c r="G29" s="168">
        <v>4.5766950000000001E-2</v>
      </c>
    </row>
    <row r="30" spans="1:7" ht="31.9" customHeight="1" x14ac:dyDescent="0.25">
      <c r="A30" s="148" t="s">
        <v>231</v>
      </c>
      <c r="B30" s="155">
        <v>6493</v>
      </c>
      <c r="C30" s="175">
        <v>0.17863066999999999</v>
      </c>
      <c r="D30" s="155">
        <v>5296</v>
      </c>
      <c r="E30" s="175">
        <v>0.14628814000000001</v>
      </c>
      <c r="F30" s="155">
        <v>4893</v>
      </c>
      <c r="G30" s="168">
        <v>0.13130865999999999</v>
      </c>
    </row>
    <row r="31" spans="1:7" ht="16.899999999999999" customHeight="1" x14ac:dyDescent="0.25">
      <c r="A31" s="169" t="s">
        <v>232</v>
      </c>
      <c r="B31" s="170">
        <v>2816</v>
      </c>
      <c r="C31" s="176">
        <v>7.0963200000000004E-2</v>
      </c>
      <c r="D31" s="170">
        <v>3010</v>
      </c>
      <c r="E31" s="176">
        <v>7.8363210000000003E-2</v>
      </c>
      <c r="F31" s="170">
        <v>2979</v>
      </c>
      <c r="G31" s="171">
        <v>7.5038090000000002E-2</v>
      </c>
    </row>
    <row r="32" spans="1:7" ht="16.899999999999999" customHeight="1" x14ac:dyDescent="0.25">
      <c r="A32" s="148" t="s">
        <v>185</v>
      </c>
      <c r="B32" s="155">
        <v>39148</v>
      </c>
      <c r="C32" s="175">
        <v>1</v>
      </c>
      <c r="D32" s="155">
        <v>39497</v>
      </c>
      <c r="E32" s="175">
        <v>1</v>
      </c>
      <c r="F32" s="155">
        <v>40417</v>
      </c>
      <c r="G32" s="168">
        <v>1</v>
      </c>
    </row>
    <row r="34" spans="1:7" ht="13.9" customHeight="1" x14ac:dyDescent="0.2">
      <c r="A34" s="165"/>
      <c r="B34" s="165"/>
      <c r="C34" s="165"/>
      <c r="D34" s="165"/>
      <c r="E34" s="165"/>
      <c r="F34" s="165"/>
      <c r="G34" s="165"/>
    </row>
    <row r="35" spans="1:7" ht="16.149999999999999" customHeight="1" x14ac:dyDescent="0.2">
      <c r="A35" s="217" t="s">
        <v>217</v>
      </c>
      <c r="B35" s="217"/>
      <c r="C35" s="217"/>
      <c r="D35" s="217"/>
      <c r="E35" s="217"/>
      <c r="F35" s="217"/>
      <c r="G35" s="217"/>
    </row>
    <row r="36" spans="1:7" ht="16.149999999999999" customHeight="1" x14ac:dyDescent="0.2">
      <c r="A36" s="217" t="s">
        <v>236</v>
      </c>
      <c r="B36" s="217"/>
      <c r="C36" s="217"/>
      <c r="D36" s="217"/>
      <c r="E36" s="217"/>
      <c r="F36" s="217"/>
      <c r="G36" s="217"/>
    </row>
    <row r="37" spans="1:7" ht="16.149999999999999" customHeight="1" x14ac:dyDescent="0.2">
      <c r="A37" s="217" t="s">
        <v>237</v>
      </c>
      <c r="B37" s="217"/>
      <c r="C37" s="217"/>
      <c r="D37" s="217"/>
      <c r="E37" s="217"/>
      <c r="F37" s="217"/>
      <c r="G37" s="217"/>
    </row>
    <row r="38" spans="1:7" ht="16.149999999999999" customHeight="1" x14ac:dyDescent="0.2">
      <c r="A38" s="217" t="s">
        <v>218</v>
      </c>
      <c r="B38" s="217"/>
      <c r="C38" s="217"/>
      <c r="D38" s="217"/>
      <c r="E38" s="217"/>
      <c r="F38" s="217"/>
      <c r="G38" s="217"/>
    </row>
  </sheetData>
  <sheetProtection algorithmName="SHA-512" hashValue="KPg00Bq5r/HjYz3U8Tq26VUsgNMraz5Cj7MKssqfoDXnPsXpR32EjcJbL/WO+G428aVCfV48VG5/TCmsM/LoWg==" saltValue="CwX9ecTkhSBZ6Vt+C4UyFA==" spinCount="100000" sheet="1" objects="1" scenarios="1"/>
  <mergeCells count="15">
    <mergeCell ref="A37:G37"/>
    <mergeCell ref="A38:G38"/>
    <mergeCell ref="A20:G20"/>
    <mergeCell ref="B21:C21"/>
    <mergeCell ref="D21:E21"/>
    <mergeCell ref="F21:G21"/>
    <mergeCell ref="A35:G35"/>
    <mergeCell ref="A36:G36"/>
    <mergeCell ref="A3:G3"/>
    <mergeCell ref="B4:C4"/>
    <mergeCell ref="D4:E4"/>
    <mergeCell ref="F4:G4"/>
    <mergeCell ref="B5:C5"/>
    <mergeCell ref="D5:E5"/>
    <mergeCell ref="F5:G5"/>
  </mergeCells>
  <pageMargins left="0.05" right="0.0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24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7" width="14.7109375" style="134" bestFit="1" customWidth="1"/>
    <col min="8" max="16384" width="11.5703125" style="134"/>
  </cols>
  <sheetData>
    <row r="1" spans="1:7" ht="22.15" customHeight="1" x14ac:dyDescent="0.3">
      <c r="A1" s="164" t="s">
        <v>238</v>
      </c>
      <c r="B1" s="165"/>
      <c r="C1" s="165"/>
      <c r="D1" s="165"/>
      <c r="E1" s="165"/>
      <c r="F1" s="165"/>
      <c r="G1" s="165"/>
    </row>
    <row r="2" spans="1:7" ht="13.9" customHeight="1" x14ac:dyDescent="0.2">
      <c r="A2" s="165"/>
      <c r="B2" s="165"/>
      <c r="C2" s="165"/>
      <c r="D2" s="165"/>
      <c r="E2" s="165"/>
      <c r="F2" s="165"/>
      <c r="G2" s="165"/>
    </row>
    <row r="3" spans="1:7" ht="48" customHeight="1" x14ac:dyDescent="0.25">
      <c r="A3" s="214" t="s">
        <v>239</v>
      </c>
      <c r="B3" s="214"/>
      <c r="C3" s="214"/>
      <c r="D3" s="214"/>
      <c r="E3" s="214"/>
      <c r="F3" s="214"/>
      <c r="G3" s="214"/>
    </row>
    <row r="4" spans="1:7" ht="34.9" customHeight="1" x14ac:dyDescent="0.25">
      <c r="A4" s="165"/>
      <c r="B4" s="218" t="s">
        <v>240</v>
      </c>
      <c r="C4" s="218"/>
      <c r="D4" s="218" t="s">
        <v>241</v>
      </c>
      <c r="E4" s="218"/>
      <c r="F4" s="219" t="s">
        <v>242</v>
      </c>
      <c r="G4" s="219"/>
    </row>
    <row r="5" spans="1:7" ht="16.899999999999999" customHeight="1" x14ac:dyDescent="0.2">
      <c r="A5" s="165"/>
      <c r="B5" s="220">
        <v>2020</v>
      </c>
      <c r="C5" s="220"/>
      <c r="D5" s="220">
        <v>2020</v>
      </c>
      <c r="E5" s="220"/>
      <c r="F5" s="216">
        <v>2020</v>
      </c>
      <c r="G5" s="216"/>
    </row>
    <row r="6" spans="1:7" ht="16.899999999999999" customHeight="1" x14ac:dyDescent="0.25">
      <c r="A6" s="165"/>
      <c r="B6" s="166" t="s">
        <v>174</v>
      </c>
      <c r="C6" s="174" t="s">
        <v>175</v>
      </c>
      <c r="D6" s="166" t="s">
        <v>174</v>
      </c>
      <c r="E6" s="174" t="s">
        <v>175</v>
      </c>
      <c r="F6" s="166" t="s">
        <v>174</v>
      </c>
      <c r="G6" s="167" t="s">
        <v>175</v>
      </c>
    </row>
    <row r="7" spans="1:7" ht="16.899999999999999" customHeight="1" x14ac:dyDescent="0.25">
      <c r="A7" s="148" t="s">
        <v>243</v>
      </c>
      <c r="B7" s="155">
        <v>30964</v>
      </c>
      <c r="C7" s="175">
        <v>0.78617302</v>
      </c>
      <c r="D7" s="155">
        <v>1124</v>
      </c>
      <c r="E7" s="175">
        <v>3.0941409999999999E-2</v>
      </c>
      <c r="F7" s="155">
        <v>6892</v>
      </c>
      <c r="G7" s="168">
        <v>0.18288556</v>
      </c>
    </row>
    <row r="8" spans="1:7" ht="16.899999999999999" customHeight="1" x14ac:dyDescent="0.25">
      <c r="A8" s="148" t="s">
        <v>244</v>
      </c>
      <c r="B8" s="155">
        <v>20045</v>
      </c>
      <c r="C8" s="175">
        <v>0.51604470000000002</v>
      </c>
      <c r="D8" s="155">
        <v>2088</v>
      </c>
      <c r="E8" s="175">
        <v>5.8121800000000001E-2</v>
      </c>
      <c r="F8" s="155">
        <v>16506</v>
      </c>
      <c r="G8" s="168">
        <v>0.42583349999999998</v>
      </c>
    </row>
    <row r="9" spans="1:7" ht="16.899999999999999" customHeight="1" x14ac:dyDescent="0.25">
      <c r="A9" s="148" t="s">
        <v>245</v>
      </c>
      <c r="B9" s="155">
        <v>13087</v>
      </c>
      <c r="C9" s="175">
        <v>0.34303822</v>
      </c>
      <c r="D9" s="155">
        <v>2370</v>
      </c>
      <c r="E9" s="175">
        <v>6.6316349999999996E-2</v>
      </c>
      <c r="F9" s="155">
        <v>23178</v>
      </c>
      <c r="G9" s="168">
        <v>0.59064543000000003</v>
      </c>
    </row>
    <row r="10" spans="1:7" ht="16.899999999999999" customHeight="1" x14ac:dyDescent="0.25">
      <c r="A10" s="148" t="s">
        <v>246</v>
      </c>
      <c r="B10" s="155">
        <v>14553</v>
      </c>
      <c r="C10" s="175">
        <v>0.37674340000000001</v>
      </c>
      <c r="D10" s="155">
        <v>2901</v>
      </c>
      <c r="E10" s="175">
        <v>8.1549650000000001E-2</v>
      </c>
      <c r="F10" s="155">
        <v>21183</v>
      </c>
      <c r="G10" s="168">
        <v>0.54170695999999996</v>
      </c>
    </row>
    <row r="11" spans="1:7" ht="34.9" customHeight="1" x14ac:dyDescent="0.25">
      <c r="A11" s="148" t="s">
        <v>247</v>
      </c>
      <c r="B11" s="155">
        <v>9091</v>
      </c>
      <c r="C11" s="175">
        <v>0.24226822000000001</v>
      </c>
      <c r="D11" s="155">
        <v>2429</v>
      </c>
      <c r="E11" s="175">
        <v>6.6230800000000006E-2</v>
      </c>
      <c r="F11" s="155">
        <v>27465</v>
      </c>
      <c r="G11" s="168">
        <v>0.69150098999999998</v>
      </c>
    </row>
    <row r="12" spans="1:7" ht="31.9" customHeight="1" x14ac:dyDescent="0.25">
      <c r="A12" s="148" t="s">
        <v>248</v>
      </c>
      <c r="B12" s="155">
        <v>5702</v>
      </c>
      <c r="C12" s="175">
        <v>0.14941066</v>
      </c>
      <c r="D12" s="155">
        <v>5360</v>
      </c>
      <c r="E12" s="175">
        <v>0.14495805</v>
      </c>
      <c r="F12" s="155">
        <v>27845</v>
      </c>
      <c r="G12" s="168">
        <v>0.70563129000000002</v>
      </c>
    </row>
    <row r="13" spans="1:7" ht="31.9" customHeight="1" x14ac:dyDescent="0.25">
      <c r="A13" s="148" t="s">
        <v>249</v>
      </c>
      <c r="B13" s="155">
        <v>23194</v>
      </c>
      <c r="C13" s="175">
        <v>0.58975597999999996</v>
      </c>
      <c r="D13" s="155">
        <v>4337</v>
      </c>
      <c r="E13" s="175">
        <v>0.11672177</v>
      </c>
      <c r="F13" s="155">
        <v>11476</v>
      </c>
      <c r="G13" s="168">
        <v>0.29352224999999998</v>
      </c>
    </row>
    <row r="14" spans="1:7" ht="34.9" customHeight="1" x14ac:dyDescent="0.25">
      <c r="A14" s="148" t="s">
        <v>250</v>
      </c>
      <c r="B14" s="155">
        <v>15590</v>
      </c>
      <c r="C14" s="175">
        <v>0.39909816999999997</v>
      </c>
      <c r="D14" s="155">
        <v>2918</v>
      </c>
      <c r="E14" s="175">
        <v>8.0078869999999996E-2</v>
      </c>
      <c r="F14" s="155">
        <v>20335</v>
      </c>
      <c r="G14" s="168">
        <v>0.52082295999999995</v>
      </c>
    </row>
    <row r="15" spans="1:7" ht="31.9" customHeight="1" x14ac:dyDescent="0.25">
      <c r="A15" s="148" t="s">
        <v>251</v>
      </c>
      <c r="B15" s="155">
        <v>20474</v>
      </c>
      <c r="C15" s="175">
        <v>0.52590992999999997</v>
      </c>
      <c r="D15" s="155">
        <v>1549</v>
      </c>
      <c r="E15" s="175">
        <v>4.2211890000000002E-2</v>
      </c>
      <c r="F15" s="155">
        <v>17014</v>
      </c>
      <c r="G15" s="168">
        <v>0.43187818</v>
      </c>
    </row>
    <row r="16" spans="1:7" ht="34.9" customHeight="1" x14ac:dyDescent="0.25">
      <c r="A16" s="148" t="s">
        <v>252</v>
      </c>
      <c r="B16" s="155">
        <v>17785</v>
      </c>
      <c r="C16" s="175">
        <v>0.45768446000000002</v>
      </c>
      <c r="D16" s="155">
        <v>1328</v>
      </c>
      <c r="E16" s="175">
        <v>3.610729E-2</v>
      </c>
      <c r="F16" s="155">
        <v>19950</v>
      </c>
      <c r="G16" s="168">
        <v>0.50620825000000003</v>
      </c>
    </row>
    <row r="17" spans="1:7" ht="16.899999999999999" customHeight="1" x14ac:dyDescent="0.25">
      <c r="A17" s="148" t="s">
        <v>253</v>
      </c>
      <c r="B17" s="155">
        <v>9450</v>
      </c>
      <c r="C17" s="175">
        <v>0.24546196000000001</v>
      </c>
      <c r="D17" s="155">
        <v>2446</v>
      </c>
      <c r="E17" s="175">
        <v>6.6102599999999997E-2</v>
      </c>
      <c r="F17" s="155">
        <v>26930</v>
      </c>
      <c r="G17" s="168">
        <v>0.68843544000000001</v>
      </c>
    </row>
    <row r="18" spans="1:7" ht="34.9" customHeight="1" x14ac:dyDescent="0.25">
      <c r="A18" s="148" t="s">
        <v>254</v>
      </c>
      <c r="B18" s="155">
        <v>18928</v>
      </c>
      <c r="C18" s="175">
        <v>0.48900227000000002</v>
      </c>
      <c r="D18" s="155">
        <v>1657</v>
      </c>
      <c r="E18" s="175">
        <v>4.4369699999999998E-2</v>
      </c>
      <c r="F18" s="155">
        <v>18404</v>
      </c>
      <c r="G18" s="168">
        <v>0.46662803000000003</v>
      </c>
    </row>
    <row r="19" spans="1:7" ht="34.9" customHeight="1" x14ac:dyDescent="0.25">
      <c r="A19" s="148" t="s">
        <v>255</v>
      </c>
      <c r="B19" s="155">
        <v>16207</v>
      </c>
      <c r="C19" s="175">
        <v>0.41419700999999998</v>
      </c>
      <c r="D19" s="155">
        <v>3506</v>
      </c>
      <c r="E19" s="175">
        <v>9.6133579999999996E-2</v>
      </c>
      <c r="F19" s="155">
        <v>19272</v>
      </c>
      <c r="G19" s="168">
        <v>0.48966939999999998</v>
      </c>
    </row>
    <row r="20" spans="1:7" ht="16.899999999999999" customHeight="1" x14ac:dyDescent="0.25">
      <c r="A20" s="169" t="s">
        <v>256</v>
      </c>
      <c r="B20" s="170">
        <v>16588</v>
      </c>
      <c r="C20" s="176">
        <v>0.42408594999999999</v>
      </c>
      <c r="D20" s="170">
        <v>4980</v>
      </c>
      <c r="E20" s="176">
        <v>0.13409423000000001</v>
      </c>
      <c r="F20" s="170">
        <v>17300</v>
      </c>
      <c r="G20" s="171">
        <v>0.44181981999999997</v>
      </c>
    </row>
    <row r="22" spans="1:7" ht="13.9" customHeight="1" x14ac:dyDescent="0.2">
      <c r="A22" s="165"/>
      <c r="B22" s="165"/>
      <c r="C22" s="165"/>
      <c r="D22" s="165"/>
      <c r="E22" s="165"/>
      <c r="F22" s="165"/>
      <c r="G22" s="165"/>
    </row>
    <row r="23" spans="1:7" ht="16.149999999999999" customHeight="1" x14ac:dyDescent="0.2">
      <c r="A23" s="217" t="s">
        <v>217</v>
      </c>
      <c r="B23" s="217"/>
      <c r="C23" s="217"/>
      <c r="D23" s="217"/>
      <c r="E23" s="217"/>
      <c r="F23" s="217"/>
      <c r="G23" s="217"/>
    </row>
    <row r="24" spans="1:7" ht="16.149999999999999" customHeight="1" x14ac:dyDescent="0.2">
      <c r="A24" s="217" t="s">
        <v>218</v>
      </c>
      <c r="B24" s="217"/>
      <c r="C24" s="217"/>
      <c r="D24" s="217"/>
      <c r="E24" s="217"/>
      <c r="F24" s="217"/>
      <c r="G24" s="217"/>
    </row>
  </sheetData>
  <sheetProtection algorithmName="SHA-512" hashValue="y+mpnz/MXmXINSs1QufEfBJMlNabH1mlkauB25l6J1nAR8BhvL3jGMYQTkPPCwmrlQ+piFXLrTp9kT/Un2WOgA==" saltValue="2CCWxXmJfusWEkyJL/YUOg==" spinCount="100000" sheet="1" objects="1" scenarios="1"/>
  <mergeCells count="9">
    <mergeCell ref="A23:G23"/>
    <mergeCell ref="A24:G24"/>
    <mergeCell ref="A3:G3"/>
    <mergeCell ref="B4:C4"/>
    <mergeCell ref="D4:E4"/>
    <mergeCell ref="F4:G4"/>
    <mergeCell ref="B5:C5"/>
    <mergeCell ref="D5:E5"/>
    <mergeCell ref="F5:G5"/>
  </mergeCells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58</vt:i4>
      </vt:variant>
    </vt:vector>
  </HeadingPairs>
  <TitlesOfParts>
    <vt:vector size="78" baseType="lpstr">
      <vt:lpstr>DASHBOARD</vt:lpstr>
      <vt:lpstr>DASHBOARD-Demographics</vt:lpstr>
      <vt:lpstr>DASHBOARD-Trending</vt:lpstr>
      <vt:lpstr>Core Q1-10, 12-38</vt:lpstr>
      <vt:lpstr>Core Perf Q11 Trend</vt:lpstr>
      <vt:lpstr>Core Q1-10, 12-38 Trend</vt:lpstr>
      <vt:lpstr>COVID-19 Bckgrnd Q39, 41-42</vt:lpstr>
      <vt:lpstr>Telework Q40 Trend</vt:lpstr>
      <vt:lpstr>COVID-19 Employee Sup Q43</vt:lpstr>
      <vt:lpstr>COVID-19 Employee Sup Q44-49</vt:lpstr>
      <vt:lpstr>COVID-19 Work Sup Q50</vt:lpstr>
      <vt:lpstr>COVID-19 Work Sup Q51</vt:lpstr>
      <vt:lpstr>COVID-19 Wk Eff Q52-53 56-57</vt:lpstr>
      <vt:lpstr>COVID-19 Wk Eff Q54-55</vt:lpstr>
      <vt:lpstr>Core Work-Life Q58-64 Trend</vt:lpstr>
      <vt:lpstr>COVID-19 Child Care Q65</vt:lpstr>
      <vt:lpstr>COVID-19 Elder Care Q66</vt:lpstr>
      <vt:lpstr>COVID-19 Closures Q67-68</vt:lpstr>
      <vt:lpstr>Demographics</vt:lpstr>
      <vt:lpstr>ASI</vt:lpstr>
      <vt:lpstr>nrAgencyName</vt:lpstr>
      <vt:lpstr>nrChallenges</vt:lpstr>
      <vt:lpstr>nrDemoAgeGroup</vt:lpstr>
      <vt:lpstr>nrDemoAgeGroupLabel</vt:lpstr>
      <vt:lpstr>nrDemoAgencyName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nrTrendLargestDecrease2017</vt:lpstr>
      <vt:lpstr>nrTrendLargestDecrease2018</vt:lpstr>
      <vt:lpstr>nrTrendLargestDecrease2019</vt:lpstr>
      <vt:lpstr>nrTrendLargestIncrease2017</vt:lpstr>
      <vt:lpstr>nrTrendLargestIncrease2018</vt:lpstr>
      <vt:lpstr>nrTrendLargestIncrease2019</vt:lpstr>
      <vt:lpstr>nrTrendNumDecrease2017</vt:lpstr>
      <vt:lpstr>nrTrendNumDecrease2018</vt:lpstr>
      <vt:lpstr>nrTrendNumDecrease2019</vt:lpstr>
      <vt:lpstr>nrTrendNumIncrease2017</vt:lpstr>
      <vt:lpstr>nrTrendNumIncrease2018</vt:lpstr>
      <vt:lpstr>nrTrendNumIncrease2019</vt:lpstr>
      <vt:lpstr>nrTrendQuestions</vt:lpstr>
      <vt:lpstr>DASHBOARD!Print_Area</vt:lpstr>
      <vt:lpstr>'DASHBOARD-Demographics'!Print_Area</vt:lpstr>
      <vt:lpstr>'DASHBOARD-Trending'!Print_Area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OPM FEVS AES Report</dc:title>
  <dc:creator>Westat</dc:creator>
  <cp:lastModifiedBy>Fellman, Gary</cp:lastModifiedBy>
  <dcterms:created xsi:type="dcterms:W3CDTF">2019-05-20T15:05:57Z</dcterms:created>
  <dcterms:modified xsi:type="dcterms:W3CDTF">2021-02-18T13:28:21Z</dcterms:modified>
</cp:coreProperties>
</file>